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showInkAnnotation="0" autoCompressPictures="0"/>
  <mc:AlternateContent xmlns:mc="http://schemas.openxmlformats.org/markup-compatibility/2006">
    <mc:Choice Requires="x15">
      <x15ac:absPath xmlns:x15ac="http://schemas.microsoft.com/office/spreadsheetml/2010/11/ac" url="C:\Users\Hyeonyoung\Dropbox\UMich_4th\RA_GeorgeTsebelis\ConstitutionalRigidityMatters\"/>
    </mc:Choice>
  </mc:AlternateContent>
  <xr:revisionPtr revIDLastSave="0" documentId="13_ncr:1_{D2A7DA88-B829-46DC-B314-D067A54D70C8}" xr6:coauthVersionLast="43" xr6:coauthVersionMax="43" xr10:uidLastSave="{00000000-0000-0000-0000-000000000000}"/>
  <bookViews>
    <workbookView xWindow="0" yWindow="12" windowWidth="23028" windowHeight="12276" tabRatio="500" xr2:uid="{00000000-000D-0000-FFFF-FFFF00000000}"/>
  </bookViews>
  <sheets>
    <sheet name="democracies_only" sheetId="5" r:id="rId1"/>
    <sheet name="old_all countries" sheetId="1" r:id="rId2"/>
    <sheet name="vp_rigid" sheetId="2" r:id="rId3"/>
    <sheet name="vp_rigid2ch" sheetId="3" r:id="rId4"/>
    <sheet name="approving bodies" sheetId="4" r:id="rId5"/>
  </sheets>
  <definedNames>
    <definedName name="_xlnm._FilterDatabase" localSheetId="0" hidden="1">democracies_only!$A$1:$AL$107</definedName>
    <definedName name="A027_" localSheetId="0">democracies_only!$AE$86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B32" i="5" l="1"/>
  <c r="AB38" i="5"/>
  <c r="AB42" i="5"/>
  <c r="AB70" i="5"/>
  <c r="AB72" i="5"/>
  <c r="AB4" i="5"/>
  <c r="W5" i="5" l="1"/>
  <c r="W7" i="5"/>
  <c r="W8" i="5"/>
  <c r="W9" i="5"/>
  <c r="W11" i="5"/>
  <c r="W14" i="5"/>
  <c r="AB14" i="5" s="1"/>
  <c r="W17" i="5"/>
  <c r="W18" i="5"/>
  <c r="AB18" i="5" s="1"/>
  <c r="W19" i="5"/>
  <c r="W20" i="5"/>
  <c r="AB20" i="5" s="1"/>
  <c r="W22" i="5"/>
  <c r="W23" i="5"/>
  <c r="AB23" i="5" s="1"/>
  <c r="W24" i="5"/>
  <c r="W25" i="5"/>
  <c r="AB25" i="5" s="1"/>
  <c r="W26" i="5"/>
  <c r="W27" i="5"/>
  <c r="AB27" i="5" s="1"/>
  <c r="W29" i="5"/>
  <c r="W31" i="5"/>
  <c r="AB31" i="5" s="1"/>
  <c r="W33" i="5"/>
  <c r="W34" i="5"/>
  <c r="AB34" i="5" s="1"/>
  <c r="W35" i="5"/>
  <c r="W36" i="5"/>
  <c r="AB36" i="5" s="1"/>
  <c r="W37" i="5"/>
  <c r="W39" i="5"/>
  <c r="AB39" i="5" s="1"/>
  <c r="W46" i="5"/>
  <c r="W47" i="5"/>
  <c r="AB47" i="5" s="1"/>
  <c r="W48" i="5"/>
  <c r="W49" i="5"/>
  <c r="AB49" i="5" s="1"/>
  <c r="W50" i="5"/>
  <c r="W52" i="5"/>
  <c r="AB52" i="5" s="1"/>
  <c r="W53" i="5"/>
  <c r="W54" i="5"/>
  <c r="AB54" i="5" s="1"/>
  <c r="W55" i="5"/>
  <c r="W57" i="5"/>
  <c r="AB57" i="5" s="1"/>
  <c r="W59" i="5"/>
  <c r="W60" i="5"/>
  <c r="AB60" i="5" s="1"/>
  <c r="W61" i="5"/>
  <c r="W63" i="5"/>
  <c r="AB63" i="5" s="1"/>
  <c r="W65" i="5"/>
  <c r="W66" i="5"/>
  <c r="AB66" i="5" s="1"/>
  <c r="W67" i="5"/>
  <c r="W68" i="5"/>
  <c r="AB68" i="5" s="1"/>
  <c r="W75" i="5"/>
  <c r="W77" i="5"/>
  <c r="AB77" i="5" s="1"/>
  <c r="W78" i="5"/>
  <c r="W79" i="5"/>
  <c r="AB79" i="5" s="1"/>
  <c r="W80" i="5"/>
  <c r="W81" i="5"/>
  <c r="AB81" i="5" s="1"/>
  <c r="W84" i="5"/>
  <c r="W85" i="5"/>
  <c r="AB85" i="5" s="1"/>
  <c r="W86" i="5"/>
  <c r="W87" i="5"/>
  <c r="AB87" i="5" s="1"/>
  <c r="W88" i="5"/>
  <c r="W91" i="5"/>
  <c r="W92" i="5"/>
  <c r="W94" i="5"/>
  <c r="W95" i="5"/>
  <c r="W97" i="5"/>
  <c r="W98" i="5"/>
  <c r="W2" i="5"/>
  <c r="Z5" i="5"/>
  <c r="Z7" i="5"/>
  <c r="Z8" i="5"/>
  <c r="Z9" i="5"/>
  <c r="Z11" i="5"/>
  <c r="Z13" i="5"/>
  <c r="Z14" i="5"/>
  <c r="Z17" i="5"/>
  <c r="Z18" i="5"/>
  <c r="Z19" i="5"/>
  <c r="Z20" i="5"/>
  <c r="Z22" i="5"/>
  <c r="Z23" i="5"/>
  <c r="Z24" i="5"/>
  <c r="Z25" i="5"/>
  <c r="Z26" i="5"/>
  <c r="Z27" i="5"/>
  <c r="Z29" i="5"/>
  <c r="Z31" i="5"/>
  <c r="Z33" i="5"/>
  <c r="Z34" i="5"/>
  <c r="Z35" i="5"/>
  <c r="Z36" i="5"/>
  <c r="Z37" i="5"/>
  <c r="Z39" i="5"/>
  <c r="Z46" i="5"/>
  <c r="Z47" i="5"/>
  <c r="Z48" i="5"/>
  <c r="Z49" i="5"/>
  <c r="Z50" i="5"/>
  <c r="Z52" i="5"/>
  <c r="Z53" i="5"/>
  <c r="Z54" i="5"/>
  <c r="Z55" i="5"/>
  <c r="Z57" i="5"/>
  <c r="Z59" i="5"/>
  <c r="Z60" i="5"/>
  <c r="Z61" i="5"/>
  <c r="Z63" i="5"/>
  <c r="Z65" i="5"/>
  <c r="Z66" i="5"/>
  <c r="Z67" i="5"/>
  <c r="Z68" i="5"/>
  <c r="Z75" i="5"/>
  <c r="Z77" i="5"/>
  <c r="Z78" i="5"/>
  <c r="Z79" i="5"/>
  <c r="Z80" i="5"/>
  <c r="Z81" i="5"/>
  <c r="Z84" i="5"/>
  <c r="Z85" i="5"/>
  <c r="Z86" i="5"/>
  <c r="Z87" i="5"/>
  <c r="Z88" i="5"/>
  <c r="Z92" i="5"/>
  <c r="Z94" i="5"/>
  <c r="Z95" i="5"/>
  <c r="Z97" i="5"/>
  <c r="Z98" i="5"/>
  <c r="Z2" i="5"/>
  <c r="AC91" i="5"/>
  <c r="AC93" i="5"/>
  <c r="AA93" i="5"/>
  <c r="Z93" i="5" s="1"/>
  <c r="X93" i="5"/>
  <c r="W93" i="5" s="1"/>
  <c r="AB93" i="5" s="1"/>
  <c r="X90" i="5"/>
  <c r="W90" i="5" s="1"/>
  <c r="X51" i="5"/>
  <c r="W51" i="5" s="1"/>
  <c r="AB51" i="5" s="1"/>
  <c r="AA51" i="5"/>
  <c r="Z51" i="5" s="1"/>
  <c r="AA28" i="5"/>
  <c r="Z28" i="5" s="1"/>
  <c r="X28" i="5"/>
  <c r="W28" i="5" s="1"/>
  <c r="AA12" i="5"/>
  <c r="Z12" i="5" s="1"/>
  <c r="AB97" i="5" l="1"/>
  <c r="AB94" i="5"/>
  <c r="AB9" i="5"/>
  <c r="AB7" i="5"/>
  <c r="AB28" i="5"/>
  <c r="AB98" i="5"/>
  <c r="AB95" i="5"/>
  <c r="AB92" i="5"/>
  <c r="AB88" i="5"/>
  <c r="AB86" i="5"/>
  <c r="AB84" i="5"/>
  <c r="AB80" i="5"/>
  <c r="AB78" i="5"/>
  <c r="AB75" i="5"/>
  <c r="AB67" i="5"/>
  <c r="AB65" i="5"/>
  <c r="AB61" i="5"/>
  <c r="AB59" i="5"/>
  <c r="AB55" i="5"/>
  <c r="AB53" i="5"/>
  <c r="AB50" i="5"/>
  <c r="AB48" i="5"/>
  <c r="AB46" i="5"/>
  <c r="AB37" i="5"/>
  <c r="AB35" i="5"/>
  <c r="AB33" i="5"/>
  <c r="AB29" i="5"/>
  <c r="AB26" i="5"/>
  <c r="AB24" i="5"/>
  <c r="AB22" i="5"/>
  <c r="AB19" i="5"/>
  <c r="AB17" i="5"/>
  <c r="AB11" i="5"/>
  <c r="AB8" i="5"/>
  <c r="AB5" i="5"/>
  <c r="AA91" i="5"/>
  <c r="Z91" i="5" s="1"/>
  <c r="AB91" i="5" s="1"/>
  <c r="AA90" i="5"/>
  <c r="Z90" i="5" s="1"/>
  <c r="AB90" i="5" s="1"/>
  <c r="AA96" i="5" l="1"/>
  <c r="X96" i="5"/>
  <c r="W96" i="5" s="1"/>
  <c r="AB96" i="5" s="1"/>
  <c r="AA89" i="5"/>
  <c r="Z89" i="5" s="1"/>
  <c r="X89" i="5"/>
  <c r="W89" i="5" s="1"/>
  <c r="AB89" i="5" s="1"/>
  <c r="AA83" i="5"/>
  <c r="Z83" i="5" s="1"/>
  <c r="X83" i="5"/>
  <c r="W83" i="5" s="1"/>
  <c r="AB83" i="5" s="1"/>
  <c r="X82" i="5"/>
  <c r="W82" i="5" s="1"/>
  <c r="AA76" i="5"/>
  <c r="Z76" i="5" s="1"/>
  <c r="X76" i="5"/>
  <c r="W76" i="5" s="1"/>
  <c r="AA74" i="5"/>
  <c r="Z74" i="5" s="1"/>
  <c r="X74" i="5"/>
  <c r="W74" i="5" s="1"/>
  <c r="AA73" i="5"/>
  <c r="Z73" i="5" s="1"/>
  <c r="X73" i="5"/>
  <c r="W73" i="5" s="1"/>
  <c r="AA71" i="5"/>
  <c r="Z71" i="5" s="1"/>
  <c r="X71" i="5"/>
  <c r="W71" i="5" s="1"/>
  <c r="AA69" i="5"/>
  <c r="Z69" i="5" s="1"/>
  <c r="X69" i="5"/>
  <c r="W69" i="5" s="1"/>
  <c r="AA64" i="5"/>
  <c r="Z64" i="5" s="1"/>
  <c r="X64" i="5"/>
  <c r="W64" i="5" s="1"/>
  <c r="AA62" i="5"/>
  <c r="Z62" i="5" s="1"/>
  <c r="X62" i="5"/>
  <c r="W62" i="5" s="1"/>
  <c r="AA58" i="5"/>
  <c r="Z58" i="5" s="1"/>
  <c r="X58" i="5"/>
  <c r="W58" i="5" s="1"/>
  <c r="AA56" i="5"/>
  <c r="Z56" i="5" s="1"/>
  <c r="X56" i="5"/>
  <c r="W56" i="5" s="1"/>
  <c r="AA45" i="5"/>
  <c r="Z45" i="5" s="1"/>
  <c r="X45" i="5"/>
  <c r="W45" i="5" s="1"/>
  <c r="AA44" i="5"/>
  <c r="Z44" i="5" s="1"/>
  <c r="X44" i="5"/>
  <c r="W44" i="5" s="1"/>
  <c r="AA43" i="5"/>
  <c r="Z43" i="5" s="1"/>
  <c r="X43" i="5"/>
  <c r="W43" i="5" s="1"/>
  <c r="AA41" i="5"/>
  <c r="Z41" i="5" s="1"/>
  <c r="AB41" i="5" s="1"/>
  <c r="X41" i="5"/>
  <c r="AA40" i="5"/>
  <c r="Z40" i="5" s="1"/>
  <c r="X40" i="5"/>
  <c r="W40" i="5" s="1"/>
  <c r="AA38" i="5"/>
  <c r="X38" i="5"/>
  <c r="AA30" i="5"/>
  <c r="Z30" i="5" s="1"/>
  <c r="X30" i="5"/>
  <c r="W30" i="5" s="1"/>
  <c r="AA21" i="5"/>
  <c r="Z21" i="5" s="1"/>
  <c r="X21" i="5"/>
  <c r="W21" i="5" s="1"/>
  <c r="AA16" i="5"/>
  <c r="Z16" i="5" s="1"/>
  <c r="X16" i="5"/>
  <c r="W16" i="5" s="1"/>
  <c r="AA15" i="5"/>
  <c r="Z15" i="5" s="1"/>
  <c r="X15" i="5"/>
  <c r="W15" i="5" s="1"/>
  <c r="X13" i="5"/>
  <c r="W13" i="5" s="1"/>
  <c r="AB13" i="5" s="1"/>
  <c r="X12" i="5"/>
  <c r="W12" i="5" s="1"/>
  <c r="AB12" i="5" s="1"/>
  <c r="AA10" i="5"/>
  <c r="Z10" i="5" s="1"/>
  <c r="X10" i="5"/>
  <c r="W10" i="5" s="1"/>
  <c r="AA6" i="5"/>
  <c r="Z6" i="5" s="1"/>
  <c r="X6" i="5"/>
  <c r="W6" i="5" s="1"/>
  <c r="AA4" i="5"/>
  <c r="X4" i="5"/>
  <c r="AA3" i="5"/>
  <c r="Z3" i="5" s="1"/>
  <c r="AB3" i="5" s="1"/>
  <c r="AB6" i="5" l="1"/>
  <c r="AB10" i="5"/>
  <c r="AB15" i="5"/>
  <c r="AB16" i="5"/>
  <c r="AB21" i="5"/>
  <c r="AB30" i="5"/>
  <c r="AB40" i="5"/>
  <c r="AB43" i="5"/>
  <c r="AB44" i="5"/>
  <c r="AB45" i="5"/>
  <c r="AB56" i="5"/>
  <c r="AB58" i="5"/>
  <c r="AB62" i="5"/>
  <c r="AB64" i="5"/>
  <c r="AB69" i="5"/>
  <c r="AB71" i="5"/>
  <c r="AB73" i="5"/>
  <c r="AB74" i="5"/>
  <c r="AB76" i="5"/>
  <c r="X3" i="5"/>
  <c r="AC77" i="5" l="1"/>
  <c r="AA82" i="5"/>
  <c r="Z82" i="5" s="1"/>
  <c r="AB82" i="5" s="1"/>
  <c r="AC2" i="5"/>
  <c r="AB2" i="5" s="1"/>
  <c r="AC3" i="5"/>
  <c r="AC4" i="5"/>
  <c r="AC5" i="5"/>
  <c r="AC6" i="5"/>
  <c r="AC7" i="5"/>
  <c r="AC8" i="5"/>
  <c r="AC9" i="5"/>
  <c r="AC10" i="5"/>
  <c r="AC12" i="5"/>
  <c r="AC13" i="5"/>
  <c r="AC14" i="5"/>
  <c r="AC15" i="5"/>
  <c r="AC16" i="5"/>
  <c r="AC17" i="5"/>
  <c r="AC18" i="5"/>
  <c r="AC19" i="5"/>
  <c r="AC20" i="5"/>
  <c r="AC21" i="5"/>
  <c r="AC23" i="5"/>
  <c r="AC24" i="5"/>
  <c r="AC25" i="5"/>
  <c r="AC26" i="5"/>
  <c r="AC27" i="5"/>
  <c r="AC28" i="5"/>
  <c r="AC29" i="5"/>
  <c r="AC30" i="5"/>
  <c r="AC31" i="5"/>
  <c r="AC32" i="5"/>
  <c r="AC33" i="5"/>
  <c r="AC34" i="5"/>
  <c r="AC35" i="5"/>
  <c r="AC36" i="5"/>
  <c r="AC37" i="5"/>
  <c r="AC38" i="5"/>
  <c r="AC39" i="5"/>
  <c r="AC40" i="5"/>
  <c r="AC41" i="5"/>
  <c r="AC43" i="5"/>
  <c r="AC44" i="5"/>
  <c r="AC45" i="5"/>
  <c r="AC46" i="5"/>
  <c r="AC47" i="5"/>
  <c r="AC48" i="5"/>
  <c r="AC49" i="5"/>
  <c r="AC50" i="5"/>
  <c r="AC51" i="5"/>
  <c r="AC52" i="5"/>
  <c r="AC53" i="5"/>
  <c r="AC54" i="5"/>
  <c r="AC55" i="5"/>
  <c r="AC56" i="5"/>
  <c r="AC57" i="5"/>
  <c r="AC58" i="5"/>
  <c r="AC59" i="5"/>
  <c r="AC60" i="5"/>
  <c r="AC61" i="5"/>
  <c r="AC62" i="5"/>
  <c r="AC63" i="5"/>
  <c r="AC64" i="5"/>
  <c r="AC66" i="5"/>
  <c r="AC67" i="5"/>
  <c r="AC68" i="5"/>
  <c r="AC69" i="5"/>
  <c r="AC70" i="5"/>
  <c r="AC71" i="5"/>
  <c r="AC72" i="5"/>
  <c r="AC73" i="5"/>
  <c r="AC74" i="5"/>
  <c r="AC75" i="5"/>
  <c r="AC76" i="5"/>
  <c r="AC78" i="5"/>
  <c r="AC79" i="5"/>
  <c r="AC80" i="5"/>
  <c r="AC81" i="5"/>
  <c r="AC82" i="5"/>
  <c r="AC83" i="5"/>
  <c r="AC84" i="5"/>
  <c r="AC85" i="5"/>
  <c r="AC87" i="5"/>
  <c r="AC88" i="5"/>
  <c r="AC89" i="5"/>
  <c r="AC92" i="5"/>
  <c r="AC97" i="5"/>
  <c r="AC98" i="5"/>
  <c r="F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Y98" i="1"/>
  <c r="X98" i="1"/>
  <c r="Y76" i="1"/>
  <c r="X76" i="1"/>
  <c r="Y51" i="1"/>
  <c r="X51" i="1"/>
  <c r="Y30" i="1"/>
  <c r="X30" i="1"/>
  <c r="Y27" i="1"/>
  <c r="X27" i="1"/>
  <c r="Y95" i="1"/>
  <c r="X95" i="1"/>
  <c r="Y92" i="1"/>
  <c r="X92" i="1"/>
  <c r="Y78" i="1"/>
  <c r="X78" i="1"/>
  <c r="Y56" i="1"/>
  <c r="X56" i="1"/>
  <c r="Y41" i="1"/>
  <c r="X41" i="1"/>
  <c r="Y31" i="1"/>
  <c r="X31" i="1"/>
  <c r="Y23" i="1"/>
  <c r="X23" i="1"/>
  <c r="Y6" i="1"/>
  <c r="X6" i="1"/>
  <c r="Y81" i="1"/>
  <c r="X81" i="1"/>
  <c r="Y79" i="1"/>
  <c r="X79" i="1"/>
  <c r="Y45" i="1"/>
  <c r="X45" i="1"/>
  <c r="Y106" i="1"/>
  <c r="X106" i="1"/>
  <c r="Y105" i="1"/>
  <c r="X105" i="1"/>
  <c r="Y103" i="1"/>
  <c r="X103" i="1"/>
  <c r="Y101" i="1"/>
  <c r="X101" i="1"/>
  <c r="Y100" i="1"/>
  <c r="X100" i="1"/>
  <c r="Y99" i="1"/>
  <c r="X99" i="1"/>
  <c r="Y97" i="1"/>
  <c r="X97" i="1"/>
  <c r="Y91" i="1"/>
  <c r="X91" i="1"/>
  <c r="Y90" i="1"/>
  <c r="X90" i="1"/>
  <c r="Y89" i="1"/>
  <c r="X89" i="1"/>
  <c r="Y88" i="1"/>
  <c r="X88" i="1"/>
  <c r="Y87" i="1"/>
  <c r="X87" i="1"/>
  <c r="Y84" i="1"/>
  <c r="X84" i="1"/>
  <c r="Y83" i="1"/>
  <c r="X83" i="1"/>
  <c r="Y77" i="1"/>
  <c r="X77" i="1"/>
  <c r="Y74" i="1"/>
  <c r="X74" i="1"/>
  <c r="Y71" i="1"/>
  <c r="X71" i="1"/>
  <c r="Y70" i="1"/>
  <c r="X70" i="1"/>
  <c r="Y68" i="1"/>
  <c r="X68" i="1"/>
  <c r="Y67" i="1"/>
  <c r="X67" i="1"/>
  <c r="Y66" i="1"/>
  <c r="X66" i="1"/>
  <c r="Y65" i="1"/>
  <c r="X65" i="1"/>
  <c r="Y64" i="1"/>
  <c r="X64" i="1"/>
  <c r="Y62" i="1"/>
  <c r="X62" i="1"/>
  <c r="X61" i="1"/>
  <c r="Y61" i="1"/>
  <c r="Y59" i="1"/>
  <c r="X59" i="1"/>
  <c r="Y58" i="1"/>
  <c r="X58" i="1"/>
  <c r="Y57" i="1"/>
  <c r="X57" i="1"/>
  <c r="X54" i="1"/>
  <c r="Y52" i="1"/>
  <c r="X52" i="1"/>
  <c r="Y50" i="1"/>
  <c r="X50" i="1"/>
  <c r="Y49" i="1"/>
  <c r="X49" i="1"/>
  <c r="Y48" i="1"/>
  <c r="Y42" i="1"/>
  <c r="X42" i="1"/>
  <c r="Y37" i="1"/>
  <c r="X37" i="1"/>
  <c r="Y36" i="1"/>
  <c r="X36" i="1"/>
  <c r="Y35" i="1"/>
  <c r="X35" i="1"/>
  <c r="X34" i="1"/>
  <c r="Y34" i="1"/>
  <c r="Y33" i="1"/>
  <c r="X33" i="1"/>
  <c r="Y24" i="1"/>
  <c r="X24" i="1"/>
  <c r="Y22" i="1"/>
  <c r="X22" i="1"/>
  <c r="Y21" i="1"/>
  <c r="X21" i="1"/>
  <c r="Y20" i="1"/>
  <c r="X20" i="1"/>
  <c r="Y17" i="1"/>
  <c r="X17" i="1"/>
  <c r="Y16" i="1"/>
  <c r="X16" i="1"/>
  <c r="Y14" i="1"/>
  <c r="X14" i="1"/>
  <c r="X13" i="1"/>
  <c r="Y9" i="1"/>
  <c r="X9" i="1"/>
  <c r="Y7" i="1"/>
  <c r="X7" i="1"/>
  <c r="Y2" i="1"/>
  <c r="X2" i="1"/>
  <c r="Y86" i="1"/>
  <c r="X86" i="1"/>
  <c r="Y46" i="1"/>
  <c r="X46" i="1"/>
  <c r="Y43" i="1"/>
  <c r="X43" i="1"/>
  <c r="Y39" i="1"/>
  <c r="X39" i="1"/>
  <c r="R107" i="1"/>
  <c r="R108" i="1" s="1"/>
  <c r="R109" i="1" s="1"/>
  <c r="Q107" i="1"/>
  <c r="Q108" i="1"/>
  <c r="Q109" i="1" s="1"/>
  <c r="P107" i="1"/>
  <c r="P108" i="1" s="1"/>
  <c r="P109" i="1" s="1"/>
  <c r="O107" i="1"/>
  <c r="O108" i="1" s="1"/>
  <c r="O109" i="1" s="1"/>
  <c r="N107" i="1"/>
  <c r="N108" i="1" s="1"/>
  <c r="N109" i="1" s="1"/>
  <c r="U22" i="1"/>
  <c r="Y13" i="1"/>
  <c r="Y82" i="1"/>
  <c r="X82" i="1"/>
  <c r="Y80" i="1"/>
  <c r="X80" i="1"/>
  <c r="Y5" i="1"/>
  <c r="X5" i="1"/>
  <c r="Y19" i="1"/>
  <c r="X19" i="1"/>
  <c r="Y44" i="1"/>
  <c r="X44" i="1"/>
  <c r="Y75" i="1"/>
  <c r="X75" i="1"/>
  <c r="Y72" i="1"/>
  <c r="X72" i="1"/>
  <c r="Y55" i="1"/>
  <c r="X55" i="1"/>
  <c r="Y53" i="1"/>
  <c r="X53" i="1"/>
  <c r="Y47" i="1"/>
  <c r="X47" i="1"/>
  <c r="Y32" i="1"/>
  <c r="X32" i="1"/>
  <c r="Y29" i="1"/>
  <c r="X29" i="1"/>
  <c r="Y28" i="1"/>
  <c r="X28" i="1"/>
  <c r="X26" i="1"/>
  <c r="Y18" i="1"/>
  <c r="X18" i="1"/>
  <c r="Y15" i="1"/>
  <c r="X15" i="1"/>
  <c r="Y12" i="1"/>
  <c r="X12" i="1"/>
  <c r="X10" i="1"/>
  <c r="Y8" i="1"/>
  <c r="Y10" i="1"/>
  <c r="X8" i="1"/>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W11" i="1"/>
  <c r="Y107" i="1" l="1"/>
  <c r="Y108" i="1" s="1"/>
  <c r="Y109" i="1" s="1"/>
</calcChain>
</file>

<file path=xl/sharedStrings.xml><?xml version="1.0" encoding="utf-8"?>
<sst xmlns="http://schemas.openxmlformats.org/spreadsheetml/2006/main" count="5136" uniqueCount="1140">
  <si>
    <t>Australia</t>
  </si>
  <si>
    <t>Austria</t>
  </si>
  <si>
    <t>Belgium</t>
  </si>
  <si>
    <t>Canada</t>
  </si>
  <si>
    <t>Chile</t>
  </si>
  <si>
    <t>Czech Republic</t>
  </si>
  <si>
    <t>Denmark</t>
  </si>
  <si>
    <t>Estonia</t>
  </si>
  <si>
    <t>Finland</t>
  </si>
  <si>
    <t>France</t>
  </si>
  <si>
    <t>Greece</t>
  </si>
  <si>
    <t>Hungary</t>
  </si>
  <si>
    <t>Iceland</t>
  </si>
  <si>
    <t>Ireland</t>
  </si>
  <si>
    <t>Japan</t>
  </si>
  <si>
    <t>Korea, Republic Of</t>
  </si>
  <si>
    <t>Luxembourg</t>
  </si>
  <si>
    <t>Mexico</t>
  </si>
  <si>
    <t>Netherlands</t>
  </si>
  <si>
    <t>Norway</t>
  </si>
  <si>
    <t>Poland</t>
  </si>
  <si>
    <t>Portugal</t>
  </si>
  <si>
    <t>Slovakia</t>
  </si>
  <si>
    <t>Slovenia</t>
  </si>
  <si>
    <t>Spain</t>
  </si>
  <si>
    <t>Sweden</t>
  </si>
  <si>
    <t>Switzerland</t>
  </si>
  <si>
    <t>Italy</t>
  </si>
  <si>
    <t>Turkey</t>
  </si>
  <si>
    <t>USA</t>
  </si>
  <si>
    <t>Germany</t>
  </si>
  <si>
    <t>house majority</t>
  </si>
  <si>
    <t>senate majority</t>
  </si>
  <si>
    <t>president if elected</t>
  </si>
  <si>
    <t>people</t>
  </si>
  <si>
    <t>second senate majority</t>
  </si>
  <si>
    <t>state req</t>
  </si>
  <si>
    <t>relevant articles</t>
  </si>
  <si>
    <t>text</t>
  </si>
  <si>
    <t>na</t>
  </si>
  <si>
    <t>not mentioned</t>
  </si>
  <si>
    <t>1. This Basic Law may be amended only by a law expressly amending or supplementing its text. In the case of an international treaty regarding a peace settlement, the preparation of a peace settlement, or the phasing out of an occupation regime, or designed to promote the defence of the Federal Republic, it shall be sufficient, for the purpose of making clear that the provisions of this Basic Law do not preclude the conclusion and entry into force of the treaty, to add language to the Basic Law that merely makes this clarification.
2. Any such law shall be carried by two thirds of the Members of the Bundestag and two thirds of the votes of the Bundesrat.
3. Amendments to this Basic Law affecting the division of the Federation into Länder, their participation on principle in the legislative process, or the principles laid down in Articles 1 and 20 shall be inadmissible.</t>
  </si>
  <si>
    <t>Laws amending the Constitution and other constitutional laws shall be adopted by each House after two successive debates at intervals of not less than three months, and shall be approved by an absolute majority of the members of each House in the second voting.
Said laws are submitted to a popular referendum when, within three months of their publication, such request is made by one-fifth of the members of a House or five hundred thousand voters or five Regional Councils. The law submitted to referendum shall not be promulgated if not approved by a majority of valid votes.
A referendum shall not be held if the law has been approved in the second voting by each of the Houses by a majority of two-thirds of the members.</t>
  </si>
  <si>
    <t>If experience shows that any part of this Constitution of the Kingdom of Norway should be amended, the proposal to this effect shall be submitted to the first, second or third Storting after a new General Election and be publicly announced in print. But, it shall be left to the first, second or third Storting after the following General Election to decide whether or not the proposed amendment shall be adopted. Such amendment must never, however, contradict the principles embodied in this Constitution, but solely relate to modifications of particular provisions which do not alter the spirit of the Constitution, and such amendment requires that two-thirds (2/3) of the Storting agree thereto.
An amendment to the Constitution adopted in the manner aforesaid shall be signed by the President and the Secretary of the Storting, and shall be sent to the King for public announcement in print, as an applicable provision of the Constitution of the Kingdom of Norway.</t>
  </si>
  <si>
    <t>44 but also 42-45</t>
  </si>
  <si>
    <t>basic info</t>
  </si>
  <si>
    <t>138 (referendum art 75)</t>
  </si>
  <si>
    <t>88. When the Folketing passes a Bill for the purposes of a new constitutional provision, and the Government wishes to proceed with the matter, writs shall be issued for the election of Members of a new Folketing. If the Bill is passed unamended by the Folketing assembling after the election, the Bill shall within six months after its final passing be submitted to the Electors for approval or rejection by direct voting. Rules for this voting shall be laid down by Statute. If a majority of the persons taking part in the voting, and at least 40 per centum of the Electorate has voted in favor of the Bill as passed by the Folketing, and if the Bill receives the Royal Assent it shall form an integral part of the Constitution Act</t>
  </si>
  <si>
    <t>Any revision of the Constitution must be adopted in the same terms by the Chamber of Deputies in two successive votes, separated by an interval of at lest three months.
No revision will be adopted if it has not obtained at least two-thirds of the votes of the members of the Chamber; votes by proxy will not be admitted.
The text adopted in the first reading by the Chamber of Deputies is submitted to a referendum, which substitutes for the second vote of the Chamber, if in the two months following the first vote demand for it is made[,] either by more than a quarter of the members of the Chamber, or by twenty-five thousand electors inscribed in the electoral lists for legislative elections. The revision can only be adopted if it receives the majority of the valid suffrage expressed. The law governs the modalities of organization of the referendum.</t>
  </si>
  <si>
    <t>137-142</t>
  </si>
  <si>
    <t>284-289</t>
  </si>
  <si>
    <t>2/3 of members</t>
  </si>
  <si>
    <t>1. The provisions of the Constitution shall be subject to revision with the exception of those which determine the form of government as a Parliamentary Republic and those of articles 2 paragraph 1, 4 paragraphs 1, 4 and 7 , 5 paragraphs 1 and 3, 13 paragraph 1, and 26.
2. The need for revision of the Constitution shall be ascertained by a resolution of Parliament adopted, on the proposal of not less than fifty Members of Parliament, by a three-fifths majority of the total number of its members in two ballots, held at least one month apart. This resolution shall define specifically the provisions to be revised.
3. Upon a resolution by Parliament on the revision of the Constitution, the next Parliament shall, in the course of its opening session, decide on the provisions to be revised by an absolute majority of the total number of its members.
4. Should a proposal for revision of the Constitution receive the majority of the votes of the total number of members but not the three-fifths majority specified in paragraph 2, the next Parliament may, in its opening session, decide on the provisions to be revised by a three-fifths majority of the total number of its members.
5. Every duly voted revision of provisions of the Constitution shall be published in the Government Gazette within ten days of its adoption by Parliament and shall come into force through a special parliamentary resolution.
6. Revision of the Constitution is not permitted before the lapse of five years from the completion of a previous revision.</t>
  </si>
  <si>
    <t>46-47</t>
  </si>
  <si>
    <t>This Constitution shall not be altered except in the following manner:
The proposed law for the alteration thereof must be passed by an absolute majority of each House of the Parliament, and not less than two nor more than six months after its passage through both Houses the proposed law shall be submitted in each State and Territory to the electors qualified to vote for the election of members of the House of Representatives.
But if either House passes any such proposed law by an absolute majority, and the other House rejects or fails to pass it, or passes it with any amendment to which the first-mentioned House will not agree, and if after an interval of three months the first-mentioned House in the same or the next session again passes the proposed law by an absolute majority with or without any amendment which has been made or agreed to by the other House, and such other House rejects or fails to pass it or passes it with any amendment to which the first-mentioned House will not agree, the Governor-General may submit the proposed law as last proposed by the first mentioned House, and either with or without any amendments subsequently agreed to by both Houses, to the electors in each State and Territory qualified to vote for the election of the House of Representatives.
When a proposed law is submitted to the electors the vote shall be taken in such manner as the Parliament prescribes. But until the qualification of electors of members of the House of Representatives becomes uniform throughout the Commonwealth, only one-half the electors voting for and against the proposed law shall be counted in any State in which adult suffrage prevails.
And if in a majority of the States a majority of the electors voting approve the proposed law, and if a majority of all the electors voting also approve the proposed law, it shall be presented to the Governor-General for the Queen's assent.
No alteration diminishing the proportionate representation of any State in either House of the Parliament, or the minimum number of representatives of a State in the House of Representatives, or increasing, diminishing, or otherwise altering the limits of the State, or in any manner affecting the provisions of the Constitution in relation thereto, shall become law unless the majority of the electors voting in that State approve the proposed law.
In this section, Territory means any territory referred to in section one hundred and twenty-two of this Constitution in respect of which there is in force a law allowing its representation in the House of Representatives.</t>
  </si>
  <si>
    <t>absolute majority</t>
  </si>
  <si>
    <t>127-129</t>
  </si>
  <si>
    <t xml:space="preserve">The Bills of reform of the Constitution can be initiated by [a] message from the President of the Republic or by motion of any of the members of the National Congress, with the limitations specified in the first paragraph of Article 65.
The Bill of reform will require for its approval[,] in each Chamber[,] the confirming vote of three-fifths of the Deputies and Senators in office. If the reform concerns Chapters I, III, VIII, XI, XII or XV it will require the approval of two-thirds of the Deputies and Senators in office.
Concerning [matters] not provided for in this chapter, the norms concerning the formation of the law shall be applicable to the process of the Bills of constitutional reform, the quorums specified in the previous paragraph always being respected.
ARTICLE 128
The Bill which both Chambers approve will be transmitted to the President of the Republic.
If the President of the Republic totally rejects a Bill of reform approved by both Chambers and it insists on its totality by two-thirds of the members in office of each Chamber, the President must promulgate that Bill, unless he consults the citizens through a plebiscite.
If the President of the Republic partially objects to a Bill of reform approved by both Chambers, the objections will be understood to have been approved with the confirming vote of the three-fifths or two-thirds of the members in office, according to what corresponds in conformity with the preceding article, and it will be returned to the President for its promulgation.
In case the Chambers do not approve all or some of the objections made by the President, there will be no constitutional reform on the points in discrepancy, unless both Chambers [so] insist, by two-thirds of their members in office. In this latter case, the part of the Bill which had the insistence for its object will be returned to the President for its promulgation, unless the latter consults the citizens to decide through a plebiscite concerning the questions in disagreement.
The constitutional organic law concerning the Congress will regulate the other matters concerning the vetoes of the Bills of reform and of their procedure in the Congress.
ARTICLE 129
The convocation to [the] plebiscite must be effected within thirty days following that on which both Chambers insist on the Bill approved by them, and it will be ordered by supreme decree which will establish the date of the plebiscitary voting, which shall be held one hundred twenty days from the publication of the decree if that day corresponds to a Sunday. If this should not be so, it will be held on the Sunday immediately following. If the President has not convoked a plebiscite within such period of time, the Bill approved by the Congress will be promulgated.
The decree of convocation will contain, as it may correspond, the Bill approved by the Plenary Congress and totally vetoed by the President of the Republic, or the questions of the Bill on which the Congress has insisted. In this latter case, each one of the questions in disagreement must be voted [on] separately in the plebiscite.
The Qualifying Tribunal will communicate to the President of the Republic the result of the plebiscite, and will specify the text of the Bill approved by the citizens, which must be promulgated as a constitutional reform within the five days following said communication.
Once the Bill has been promulgated, and as of the date it enters into force, its provisions will form part of the Constitution and will be held to be incorporated in it.
</t>
  </si>
  <si>
    <t>9, 39, 41, 62,appendix b #8</t>
  </si>
  <si>
    <t>78, 161-168</t>
  </si>
  <si>
    <t>The right to initiate amendment of the Constitution rests with not less than one-fifth of the membership of the Riigikogu and with the President of the Republic.
Amendment of the Constitution shall not be initiated, nor shall the Constitution be amended, during a state of emergency or a state of war.
ARTICLE 162
Chapter I “General Provisions” and Chapter XV “Amendment of the Constitution” of the Constitution may be amended only by a referendum.
ARTICLE 163
The Constitution shall be amended by an Act which has been passed by:
1.a referendum;
2.two successive memberships of the Riigikogu;
3.the Riigikogu, as a matter of urgency.
A bill to amend the Constitution shall be debated for three readings in the Riigikogu, in which the interval between the first and second readings shall be not less than three months, and the interval between the second and third readings shall be not less than one month. The manner in which the Constitution is to be amended shall be decided at the third reading.
ARTICLE 164
A three-fifths majority of the membership of the Riigikogu is required to submit a bill to amend the Constitution to a referendum. The referendum shall be held not earlier than three months after the passage of a resolution to this effect by the Riigikogu.
ARTICLE 165
In order to amend the Constitution by two successive memberships of the Riigikogu, a bill to amend the Constitution must be supported by a majority of the membership of the Riigikogu.
If the bill to amend the Constitution which receives the support of the majority of the preceding membership of the Riigikogu is passed by the succeeding Riigikogu, unamended, on its first reading and with a three-fifths majority, then the Constitution Amendment Act is passed.
ARTICLE 166
A resolution to consider a bill to amend the Constitution as a matter of urgency shall be passed by a four-fifths majority of the Riigikogu. In this case, the Constitution Amendment Act shall be passed by a two-thirds majority of the membership of the Riigikogu.
ARTICLE 167
The Constitution Amendment Act shall be proclaimed by the President of the Republic and shall enter into force on the date specified therein, but not earlier than three months from the date of proclamation.
ARTICLE 168
An amendment to the Constitution regarding the same issue shall not be initiated within one year after the rejection of a corresponding bill by a referendum or by the Riigikogu.</t>
  </si>
  <si>
    <t>Proposals to amend or supplement this Constitution may be introduced at regular as well as extraordinary sessions of Althingi. If the proposal is adopted, Althingi shall immediately be dissolved and a general election held. If Althingi then passes the resolution unchanged, it shall be confirmed by the President of the Republic and come into force as constitutional law.
If Althingi passes an amendment to the status of the Church under Article 62, it shall be submitted to a vote for approval or rejection by secret ballot of all those eligible to vote.</t>
  </si>
  <si>
    <t>Amendments to this Constitution shall be initiated by the Diet, through a concurring vote of two-thirds or more of all the members of each House and shall thereupon be submitted to the people for ratification, which shall require the affirmative vote of a majority of all votes cast thereon, at a special referendum or at such election as the Diet shall specify.
Amendments when so ratified shall immediately be promulgated by the Emperor in the name of the people, as an integral part of this Constitution.</t>
  </si>
  <si>
    <t>The Congress, whenever two thirds of both Houses shall deem it necessary, shall propose Amendments to this Constitution, or, on the Application of the Legislatures of two thirds of the several States, shall call a Convention for proposing Amendments, which, in either Case, shall be valid to all Intents and Purposes, as Part of this Constitution, when ratified by the Legislatures of three fourths of the several States, or by Conventions in three fourths thereof, as the one or the other Mode of Ratification may be proposed by the Congress; Provided that no Amendment which may be made prior to the Year One thousand eight hundred and eight shall in any Manner affect the first and fourth Clauses in the Ninth Section of the first Article; and that no State, without its Consent, shall be deprived of its equal Suffrage in the Senate.</t>
  </si>
  <si>
    <t>168-171</t>
  </si>
  <si>
    <t>A proposal to initiate the procedure for amending the Constitution may be made by twenty deputies of the National Assembly, the Government or at least thirty thousand voters.
Such proposal is decided upon by the National Assembly by a two-thirds majority vote of deputies present.
ARTICLE 169. ACTS AMENDING THE CONSTITUTION
The National Assembly adopts acts amending the Constitution by a two-thirds majority vote of all deputies.
ARTICLE 170. CONFIRMATION OF CONSTITUTIONAL AMENDMENTS BY REFERENDUM
The National Assembly must submit a proposed constitutional amendment to voters for adoption in a referendum, if so required by at least thirty deputies. A constitutional amendment is adopted in a referendum if a majority of those voting voted in favour of the same, provided that a majority of all voters participated in the referendum.
ARTICLE 171. PROMULGATION OF CONSTITUTIONAL AMENDMENTS
Constitutional amendments enter into force upon their promulgation in the National Assembly.</t>
  </si>
  <si>
    <t>84.4, 152.1</t>
  </si>
  <si>
    <t>4. For adopting the Constitution, amending the Constitution, a constitutional law for the expression of consent to an international treaty, pursuant to Art. 7 paragraph (2), for the adoption of a resolution on a referendum, on the recall of the President of the Slovak Republic, on the presentation for an impeachment of the President and for declaring war on another state, the consent of at least a three-fifths majority of all deputies is required....1. The constitutional laws, laws and other generally binding legal provisions remain in force in the Slovak Republic, if they are not in conflict with the Constitution. They can be amended or abrogated by the competent organs of the Slovak Republic.</t>
  </si>
  <si>
    <t>1. A bill to amend the Constitution may be submitted by the following: at least one-fifth of the statutory number of Deputies; the Senate; or the President of the Republic.
2. Amendments to the Constitution shall be made by means of a statute adopted by the Sejm and, thereafter, adopted in the same wording by the Senate within a period of 60 days.
3. The first reading of a bill to amend the Constitution may take place no sooner than 30 days after the submission of the bill to the Sejm.
4. A bill to amend the Constitution shall be adopted by the Sejm by a majority of at least two-thirds of votes in the presence of at least half of the statutory number of Deputies, and by the Senate by an absolute majority of votes in the presence of at least half of the statutory number of Senators.
5. The adoption by the Sejm of a bill amending the provisions of Chapters I, II or XII of the Constitution shall take place no sooner than 60 days after the first reading of the bill.
6. If a bill to amend the Constitution relates to the provisions of Chapters I, II or XII, the subjects specified in para. 1 above may require, within 45 days of the adoption of the bill by the Senate, the holding of a confirmatory referendum. Such subjects shall make application in the matter to the Marshal of the Sejm, who shall order the holding of a referendum within 60 days of the day of receipt of the application. The amendment to the Constitution shall be deemed accepted if the majority of those voting express support for such amendment.
7. After conclusion of the procedures specified in paras 4 and 6 above, the Marshal of the Sejm shall submit the adopted statute to the President of the Republic for signature. The President of the Republic shall sign the statute within 21 days of its submission and order its promulgation in the Journal of Laws of the Republic of Poland (Dziennik Ustaw).</t>
  </si>
  <si>
    <t xml:space="preserve"> The present Constitution may be added to, or amended. For the additions or amendments to become a part thereof, it shall be required that the Congress of the Union, by a vote of two-thirds of the members present, agrees to the amendments or additions and that they be approved by a majority of the legislatures of the States.
The Congress of the Union, or the Permanent Commission, as the case may be, shall count the votes of the legislatures and shall announce those additions or amendments that have been approved.</t>
  </si>
  <si>
    <t>http://ualawccsprod.srv.ualberta.ca/ccs/index.php/constitutional-keywords/489-amending-formula</t>
  </si>
  <si>
    <t>majority</t>
  </si>
  <si>
    <t>Albania</t>
  </si>
  <si>
    <t>Argentina</t>
  </si>
  <si>
    <t>Armenia</t>
  </si>
  <si>
    <t>Burundi</t>
  </si>
  <si>
    <t>Benin</t>
  </si>
  <si>
    <t>Bangladesh</t>
  </si>
  <si>
    <t>Bulgaria</t>
  </si>
  <si>
    <t>Bolivia</t>
  </si>
  <si>
    <t>Brazil</t>
  </si>
  <si>
    <t>Botswana</t>
  </si>
  <si>
    <t>Colombia</t>
  </si>
  <si>
    <t>Cyprus</t>
  </si>
  <si>
    <t>Ecuador</t>
  </si>
  <si>
    <t>Georgia</t>
  </si>
  <si>
    <t>Ghana</t>
  </si>
  <si>
    <t>Guinea-Bissau</t>
  </si>
  <si>
    <t>Guatemala</t>
  </si>
  <si>
    <t>Guyana</t>
  </si>
  <si>
    <t>Honduras</t>
  </si>
  <si>
    <t>Croatia</t>
  </si>
  <si>
    <t>Haiti</t>
  </si>
  <si>
    <t>Indonesia</t>
  </si>
  <si>
    <t>India</t>
  </si>
  <si>
    <t>Jamaica</t>
  </si>
  <si>
    <t>Kenya</t>
  </si>
  <si>
    <t>Lebanon</t>
  </si>
  <si>
    <t>Liberia</t>
  </si>
  <si>
    <t>Lesotho</t>
  </si>
  <si>
    <t>Lithuania</t>
  </si>
  <si>
    <t>Latvia</t>
  </si>
  <si>
    <t>Moldova</t>
  </si>
  <si>
    <t>Madagascar</t>
  </si>
  <si>
    <t>Macedonia</t>
  </si>
  <si>
    <t>Mali</t>
  </si>
  <si>
    <t>Montenegro</t>
  </si>
  <si>
    <t>Mongolia</t>
  </si>
  <si>
    <t>Mozambique</t>
  </si>
  <si>
    <t>Mauritius</t>
  </si>
  <si>
    <t>Malawi</t>
  </si>
  <si>
    <t>Namibia</t>
  </si>
  <si>
    <t>Niger</t>
  </si>
  <si>
    <t>Nicaragua</t>
  </si>
  <si>
    <t>Nepal</t>
  </si>
  <si>
    <t>Panama</t>
  </si>
  <si>
    <t>Peru</t>
  </si>
  <si>
    <t>Philippines</t>
  </si>
  <si>
    <t>Paraguay</t>
  </si>
  <si>
    <t>Romania</t>
  </si>
  <si>
    <t>Russia</t>
  </si>
  <si>
    <t>Senegal</t>
  </si>
  <si>
    <t>Taiwan</t>
  </si>
  <si>
    <t>Ukraine</t>
  </si>
  <si>
    <t>Uruguay</t>
  </si>
  <si>
    <t>Venezuela</t>
  </si>
  <si>
    <t>Zambia</t>
  </si>
  <si>
    <t>Cape Verde</t>
  </si>
  <si>
    <t>Costa Rica</t>
  </si>
  <si>
    <t>Dominican Republic</t>
  </si>
  <si>
    <t>Sri Lanka</t>
  </si>
  <si>
    <t>Solomon Islands</t>
  </si>
  <si>
    <t>Sierra Leone</t>
  </si>
  <si>
    <t>El Salvador</t>
  </si>
  <si>
    <t>Yugoslavia (Serbia)</t>
  </si>
  <si>
    <t>East Timor</t>
  </si>
  <si>
    <t>Trinidad and Tobago</t>
  </si>
  <si>
    <t>South Africa</t>
  </si>
  <si>
    <t>.</t>
  </si>
  <si>
    <t>oecd/polity</t>
  </si>
  <si>
    <t>log_gdp_cap_ppp</t>
  </si>
  <si>
    <t>limit frequency of amend</t>
  </si>
  <si>
    <t>ARTICLE 331
The present Constitution may be amended, in whole or in part, in accordance with the following procedures:
a.Upon the initiative of ten percent of the citizens inscribed in the National Civil Register, by presenting a detailed proposal which shall be referred to the President of the General Assembly, to be submitted for popular decision at the next election.
The General Assembly, meeting in joint session, may take substitute proposals which shall be submitted to plebiscitary decision together with the popular initiative.
b.By proposal of amendment approved by two-fifths of the full membership of the General Assembly, presented to the President thereof, and submitted to plebiscite at the next ensuing election.
For an affirmative result in the methods outlined in paragraphs (a) and (b), a "yes" vote of an absolute majority of the citizens participating in the elections shall be required, and this majority must represent at least thirty-five percent of all persons inscribed in National Civil Register.
c.The Senators, Representatives, and the Executive Power may present proposed amendments which must be approved by an absolute majority of the full membership of the General Assembly.
A proposal which is rejected may not be renewed until the succeeding legislative period, and the same formalities must be observed.
Upon the approval of a proposal and its promulgation by the President of the General Assembly, the Executive Power, within ninety days thereafter, shall call for the election of a National Constituent Convention, which shall consider and decide upon approved proposals for amendment as well as upon any other proposals that may be presented to the Convention. The number of members of the Convention shall be double the number of Legislators. Twice as many alternates shall be elected at the same time. The conditions for eligibility and the immunities and incompatibilities shall be the same as for Representatives.
The election by departmental lists shall be governed by the system of integral proportional representation and in accordance with laws in force for the election of Representatives. The Convention shall meet within one year from the date of promulgation of the proposal of amendment.
The decisions of the Convention must be taken by an absolute majority of the whole number of members of the Convention and the work of the Convention must be terminated within one year from the date of its commencement. The proposal or proposals drawn up by the Convention shall be communicated to the Executive Power for immediate and full publication.
The proposal or proposals drawn up by the Convention must be ratified by the body electorate convoked for the purpose by the Executive Power, on the date to be fixed by the National Constituent Convention.
Voting shall be by "yes" or "no" and if there are several texts of amendment, it shall be separate for each of them. For this purpose the Constituent Convention shall group together those amendments which by their nature require that they be voted on as a unit. One-third of the members of the Convention may require separate voting on one or several texts. An amendment or amendments must be approved by a majority of votes, which shall not be less than thirty-five percent of the citizens inscribed in the National Civil Register.
In the cases contemplated by paragraphs (a) and (b), there shall be submitted for ratification by plebiscite at the same time as the next elections only those proposals which have been presented at least six months before the date of such elections, or in the first of these cases, three months before, for substitute proposals approved by the General Assembly. Proposals presented after the periods mentioned shall be submitted to plebiscite at the time of the subsequent elections.
d.The Constitution may be amended, also, by constitutional laws which shall require for their sanction two-thirds of the full membership of each Chamber in the same legislative period. Constitutional laws may not be vetoed by the Executive Power and shall take effect as soon as the electorate specially convoked on the date specified in such laws shall have expressed their approval by an absolute majority of the votes cast and they shall be promulgated by the President of the General Assembly.
e.If the convocation of the electorate for ratification of amendments, in the cases contemplated in paragraphs (a), (b), (c), and (d) coincides with any election of members of the organs of the State, the citizens must express their will on the constitutional amendments on ballots separate and apart from the election lists. Whenever the amendments submitted to a plebiscite relate to election to elective offices, the voting for such offices shall be both by the system proposed and by the existing system, and decision of the plebiscite shall be final.</t>
  </si>
  <si>
    <t>195-196</t>
  </si>
  <si>
    <t>The Legislative Assembly may partially reform this Constitution in absolute accordance with the following provisions:
1.The proposal to reform one or various Articles must be presented to the Legislative Assembly in ordinary sessions, signed by at least ten Deputies or by five per cent (5%) as [a] minimum, of the citizens registered on the electoral roll
2.This proposal will be read three times at intervals of six days, to decide if it is admitted or not for discussion;
3.In the affirmative case it will pass to a commission appointed by [an] absolute majority of the Assembly, for it to decide [dictamine] in a term of up to twenty working days;
4.The decision presented, it will proceed to its discussion through the procedure established for the formation of the laws; this reform must be approved by a vote of no less than two-thirds of the total of the members of the Assembly;
5.[Once] agreed that the reform proceeds, the Assembly will prepare the correspondent bill, through a Commission, the absolute majority being enough in this case to approve it;
6.The mentioned bill will pass to the Executive Power; and it will send it to the Assembly with the Presidential Message at the beginning of the next ordinary legislature, with his observations, or recommending it;
7.The Legislative Assembly, in its first sessions, will discuss the bill in three debates, and if it approves it by [a] vote of no less than two-thirds of the total of the members of the Assembly, it will form part of the Constitution, and it will be communicated to the Executive Power for its publication and observance;
8.In accordance with Article 105 of this Constitution, the constitutional reforms may be submitted to referendum after being approved in one legislature and before the next one, if it is agreed on by the two-thirds part of the total of the members of the Legislative Assembly.
ARTICLE 196
Share
The general reform of this Constitution, may only be made by a Constituent Assembly convoked to that effect. The law that makes this convocation, must be approved by [a] vote of no less than two-thirds of the total of the members of the Legislative Assembly and it does not require [the] sanction of the Executive Power.</t>
  </si>
  <si>
    <t>368. POWER OF PARLIAMENT TO AMEND THE CONSTITUTION AND PROCEDURE THEREFOR
Share
1. Notwithstanding anything in this Constitution, Parliament may in exercise of its constituent power amend by way of addition, variation or repeal any provision of this Constitution in accordance with the procedure laid down in this article.
2. An amendment of this Constitution may be initiated only by the introduction of a Bill for the purpose in either House of Parliament, and when the Bill is passed in each House by a majority of the total membership of that House and by a majority of not less than two-thirds of the members of that House present and voting, it shall be presented to the President who shall give his assent to the Bill and thereupon the Constitution shall stand amended in accordance with the terms of the Bill:
Provided that if such amendment seeks to make any change in-
a.article 54, article 55, article 73, article 162 or article 241, or
b.Chapter IV of Part V, Chapter V of Part VI, or Chapter I of Part XI, or
c.any of the Lists in the Seventh Schedule, or
d.the representation of States in Parliament, or
e.the provisions of this article,
the amendment shall also require to be ratified by the Legislatures of not less than one half of the States by resolutions to that effect passed by those Legislatures before the Bill making provision for such amendment is presented to the President for assent.
3. Nothing in article 13 shall apply to any amendment made under this article.
4. No amendment of this Constitution (including the provisions of Part III) made or purporting to have been made under this article whether before or after the commencement of section 55 of the Constitution (Forty-second Amendment) Act, 1976 shall be called in question in any court on any ground.
5. For the removal of doubts, it is hereby declared that there shall be no limitation whatever on the constituent power of Parliament to amend by way of addition, variation or repeal the provisions of this Constitution under this article.</t>
  </si>
  <si>
    <t>74. BILLS AMENDING THE CONSTITUTION
Share
1. Section 1 and this subsection may be amended by a Bill passed by-
a.the National Assembly, with a supporting vote of at least 75 per cent of its members; and
b.the National Council of Provinces, with a supporting vote of at least six provinces.
2. Chapter 2 may be amended by a Bill passed by-
a.the National Assembly, with a supporting vote of at least two thirds of its members; and
b.the National Council of Provinces, with a supporting vote of at least six provinces.
3. Any other provision of the Constitution may be amended by a Bill passed-
a.by the National Assembly, with a supporting vote of at least two thirds of its members; and
b.also by the National Council of Provinces, with a supporting vote of at least six provinces, if the amendment-
i.relates to a matter that affects the Council;
ii.alters provincial boundaries, powers, functions or institutions; or
iii.amends a provision that deals specifically with a provincial matter.
4. A Bill amending the Constitution may not include provisions other than constitutional amendments and matters connected with the amendments.
5. At least 30 days before a Bill amending the Constitution is introduced in terms of section 73 (2), the person or committee intending to introduce the Bill must-
a.publish in the national Government Gazette, and in accordance with the rules and orders of the National Assembly, particulars of the proposed amendment for public comment;
b.submit, in accordance with the rules and orders of the Assembly, those particulars to the provincial legislatures for their views; and
c.submit, in accordance with the rules and orders of the National Council of Provinces, those particulars to the Council for a public debate, if the proposed amendment is not an amendment that is required to be passed by the Council.
6. When a Bill amending the Constitution is introduced, the person or committee introducing the Bill must submit any written comments received from the public and the provincial legislatures-
a.to the Speaker for tabling in the National Assembly; and
b.in respect of amendments referred to in subsection (1), (2) or (3) (b), to the Chairperson of the National Council of Provinces for tabling in the Council.
7. A Bill amending the Constitution may not be put to the vote in the National Assembly within 30 days of-
a.its introduction, if the Assembly is sitting when the Bill is introduced; or
b.its tabling in the Assembly, if the Assembly is in recess when the Bill is introduced.
8. If a Bill referred to in subsection (3) (b), or any part of the Bill, concerns only a specific province or provinces, the National Council of Provinces may not pass the Bill or the relevant part unless it has been approved by the legislature or legislatures of the province or provinces concerned.
9. A Bill amending the Constitution that has been passed by the National Assembly and, where applicable, by the National Council of Provinces, must be referred to the President for assent.</t>
  </si>
  <si>
    <t>153-163</t>
  </si>
  <si>
    <t>150-152</t>
  </si>
  <si>
    <t>ARTICLE 150. AMENDMENT INITIATIVE
1. Constitutional amendments can be initiated by the President of Romania upon proposal by the Government, at least one-fourth of the deputies or senators, as well as at least 500,000 citizens eligible to vote.
2. Citizens who initiate a constitutional amendment must represent at least half the counties of the country, and in each of these counties and in the Bucharest Municipality, at least 20,000 signatures supporting this initiative must be obtained.
ARTICLE 151. AMENDMENT PROCEDURE
1. The amendment draft or proposal must be approved in the Chamber of Deputies and the Senate by at least a two-thirds majority of the members of each Chamber.
2. If no agreement can be reached by a mediation procedure, the Chamber of Deputies and the Senate will decide in joint session by a vote of at least three-fourths of the deputies and senators.
3. The revision is final after being approved by a referendum organized within 30 days of the approval of the draft of the recommendation for revision.
ARTICLE 152. LIMITS TO CONSTITUTIONAL AMENDMENTS
1. The provisions of the present Constitution concerning the national, independent, unitary, and indivisible character of the Romanian state, the Republic as the form of government, territorial integrity, the independence of the judicial system, political pluralism, and the official language may not be the object of a constitutional amendment.
2. Similarly, no amendment shall be adopted if it would result in the elimination of the fundamental rights and freedoms of citizens or of the guarantees of these rights and freedoms.
3. The Constitution may not be amended during periods of martial law, a state of emergency or during wartime.</t>
  </si>
  <si>
    <t>289-292</t>
  </si>
  <si>
    <t>Share
1. Subject to the provisions of this Constitution, Parliament may, by an Act of Parliament, amend any provision of this Constitution.
2. This Constitution shall not be amended by an Act of Parliament or altered whether directly or indirectly unless-
a.the sole purpose of the Act is to amend this Constitution; and
b.the Act has been passed in accordance with this Chapter.
290. AMENDMENT OF ENTRENCHED PROVISIONS
1. This article applies to the amendment of the following provisions of this Constitution, which are, in this Constitution referred to as "entrenched provisions"-
a.The Constitution: articles 1, 2 and 3;
b.The Territories of Ghana: articles 4 and 5;
c.The Laws of Ghana: article 11;
d.Fundamental Human Rights and Freedoms: Chapter 5;
e.Representation of the People: articles 42, 43, 46, 49, 55 and 56;
f.The Executive: Chapter 8;
g.The Legislature: articles 93 and 106;
h.The Judiciary: articles 125, 127, 129, 145 and 146;
i.Freedom and Independence of the Media: article 162, clauses (1) to (5);
j.Finance: articles 174 and 187;
k.Police Service: article 200;
l.The Armed Forces of Ghana: article 210;
m.Commission on Human Rights and Administrative Justice: articles 216 and 225;
n.National Commission for Civic Education: article 231;.
o.Decentralization and Local Government: articles 240 and 252;
p.Chieftaincy: article 270;
q.Code of Conduct for Public Officers: article 286;
r.Amendment of the Constitution: Chapter 25; and
s.Miscellaneous: articles 293 and 299.
2. A bill for the amendment of an entrenched provision shall, before Parliament proceeds to consider it, be referred by the Speaker to the Council of State for its advice and the Council of State shall render advice on the bill within thirty days after receiving it.
3. The bill shall be published in the Gazette but shall not be introduced into Parliament until the expiry of six months after the publication in the Gazette under this clause.
4. After the bill has been read the first time in Parliament it shall not be proceeded with further unless it has been submitted to a referendum held throughout Ghana and at least forty percent of the persons entitled to vote, voted at the referendum and at least seventy-five percent of the persons who voted cast their votes in favour of the passing of the bill.
5. Where the bill is approved at the referendum, Parliament shall pass it.
6. Where a bill for the amendment of an entrenched provision has been passed by Parliament in accordance with this article, the President shall assent to it.
291. AMENDMENT OF NON-ENTRENCHED PROVISIONS
Share
1. A bill to amend a provision of this Constitution which is not an entrenched provision shall not be introduced into Parliament unless-
a.it has been published twice in the Gazette with the second publication being made at least three months after the first; and
b.at least ten days have passed after the second publication.
2. The Speaker shall, after the first reading of the bill in Parliament, refer it to the Council of State for consideration and advice and the Council of State shall render advice on the bill within thirty days after receiving it.
3. Where Parliament approves the bill, it may only be presented to the President for his assent if it was approved at the second and third readings of it in Parliament by the votes of at least two thirds of all the members of Parliament.
4. Where the bill has been passed in accordance with this article, the President shall assent to it.
292. CERTIFICATE OF COMPLIANCE WITH CONSTITUTION
Share
A bill for the amendment of this Constitution which has been passed in accordance with this Constitution, shall be assented to by the President only if-
a.it is accompanied by a certificate from the Speaker that the provisions of this Constitution have been complied with in relation to it; and
b.in the case of a bill to amend an entrenched provision, it is accompanied by a certificate from the Electoral Commission, signed by the Chairman of the Commission and bearing the seal of the Commission, that the bill was approved at a referendum in accordance with this Chapter.</t>
  </si>
  <si>
    <t>141, 191-195</t>
  </si>
  <si>
    <t>ARTICLE 37
Share
1. A proposal to amend the Articles of this Constitution may be included in the agenda of an MPR session if it is submitted by at least 1/3 of the total MPR membership.
2. Any proposal to amend the Articles of this Constitution shall be introduced in writing and must clearly state the articles to be amended and the reasons for the amendment.
3. To amend the Articles of this Constitution, the session of the MPR requires at least 2/3 of the total membership of the MPR to be present.
4. Any decision to amend the Articles of this Constitution shall be made with the agreement of at least fifty percent plus one member of the total membership of the MPR.
5. Provisions relating to the form of the unitary state of the Republic of Indonesia may not be amended.</t>
  </si>
  <si>
    <t>76-79</t>
  </si>
  <si>
    <t>ARTICLE 30
The Constitution may be amended in its entirety or in any of its parts. The need for its amendment must be declared by the Congress by a vote of at least two-thirds of its members; but the amendment shall not be accomplished except by a Convention called for such purpose.</t>
  </si>
  <si>
    <t>ARTICLE 154
A draft law on introducing amendments to the Constitution of Ukraine may be submitted to the Verkhovna Rada of Ukraine, by the President of Ukraine, or by no fewer National Deputies of Ukraine than one-third of the constitutional composition of the Verkhovna Rada of Ukraine.
ARTICLE 155
A draft law on introducing amendments to the Constitution of Ukraine, with the exception of Chapter I - "General Principles," Chapter III - "Elections; Referendum," and Chapter XIII - "Introducing Amendments to the Constitution of Ukraine," previously adopted by the majority of the constitutional composition of the Verkhovna Rada of Ukraine, is deemed to be adopted, if at the next regular session of the Verkhovna Rada of Ukraine, no less than two-thirds of the constitutional composition of the Verkhovna Rada of Ukraine have voted in favour thereof.
ARTICLE 156
A draft law on introducing amendments to Chapter I - "General Principles," Chapter III - "Elections. Referendum," and Chapter XIII - "Introducing Amendments to the Constitution of Ukraine," is submitted to the Verkhovna Rada of Ukraine by the President of Ukraine, or by no less than two-thirds of the constitutional composition of the Verkhovna Rada of Ukraine, and on the condition that it is adopted by no less than two-thirds of the constitutional composition of the Verkhovna Rada of Ukraine, and is approved by an All-Ukrainian referendum designated by the President of Ukraine.
The repeat submission of a draft law on introducing amendments to Chapters I, III and XIII of this Constitution on one and the same issue is possible only to the Verkhovna Rada of Ukraine of the next convocation.
ARTICLE 157
Share
The Constitution of Ukraine shall not be amended, if the amendments foresee the abolition or restriction of human and citizens' rights and freedoms, or if they are oriented toward the liquidation of the independence or violation of the territorial indivisibility of Ukraine.
The Constitution of Ukraine shall not be amended in conditions of martial law or a state of emergency.
ARTICLE 158
Share
The draft law on introducing amendments to the Constitution of Ukraine, considered by the Verkhovna Rada of Ukraine and not adopted, may be submitted to the Verkhovna Rada of Ukraine no sooner than one year from the day of the adoption of the decision on this draft law.
Within the term of its authority, the Verkhovna Rada of Ukraine shall not amend twice the same provisions of the Constitution.
ARTICLE 159
Share
A draft law on introducing amendments to the Constitution of Ukraine is considered by the Verkhovna Rada of Ukraine upon the availability of an opinion of the Constitutional Court of Ukraine on the conformity of the draft law with the requirements of Articles 157 and 158 of this Constitution.</t>
  </si>
  <si>
    <t>154-159</t>
  </si>
  <si>
    <t>87, 91-93</t>
  </si>
  <si>
    <t xml:space="preserve">ARTICLE 87
a. Emergency powers do not include the power to suspend or abrogate the Constitution, dissolve the Legislature, or suspend or dismiss the Judiciary; and no constitutionals amendment shall be promulgated during a state of emergency. Where the Legislature is not in session, it must be convened immediately in special session and remain in session during the entire period of the state of emergency.
b. The writ of habeas corpus shall remain available and exercisable at all times and shall not be suspended on account of any state of emergency. It shall be enjoyed in the most free, easy, inexpensive, expeditious and ample manner. Any person who suffers from a violation of this right may challenge such violation in a court of competent jurisdiction.
ARTICLE 91
This Constitution may be amended whenever a proposal by either (1) two-thirds of the membership of both Houses of the Legislature or (2) a petition submitted to the Legislature, by not fewer than 10,000 citizens which receives the concurrence of two thirds of the membership of both Houses of the Legislature, is ratified by two-thirds of the registered voters, voting in a referendum conducted by the Elections Commission not sooner than one year after the action of the Legislature.
ARTICLE 92
Proposed constitutional amendments shall be accompanied by statements setting forth the reasons therefor and shall be published in the Official Gazette and made known to the people through the information services of the Republic. If more than one proposed amendment is to be voted upon in a referendum they shall be submitted in such manner that the people may vote for or against them separately.
ARTICLE 93
The limitation of the Presidential term of office to two terms, each of six years duration, may be subject to amendment; provided that the amendment shall not become effective during the term of office of the encumbent President.
</t>
  </si>
  <si>
    <t>297-300</t>
  </si>
  <si>
    <t>ARTICLE 297
Share
The initiative of the revision of the Constitution belongs concurrently to the President of the Republic after consultation with the Government, to the National Assembly or to the Senate deciding respectively with an absolute majority of the members that compose them.
ARTICLE 298
Share
The President of the Republic can submit to referendum a bill of amendment of the Constitution.
ARTICLE 299
Share
No procedure of revision may be retained if it infringes the national unity, the cohesion of the Burundian People, the secularity of the State, the reconciliation, the democracy or the integrity of the territory of the Republic.
ARTICLE 300
Share
The bill or the proposal of amendment of the Constitution is adopted with a majority of four-fifths of the members composing the National Assembly and two-thirds of the members of the Senate.</t>
  </si>
  <si>
    <t>173-175</t>
  </si>
  <si>
    <t>ARTICLE 173
The initiative of the revision of the Constitution belongs jointly to the President of the Republic and to the members of the National Assembly.
ARTICLE 174
To be taken into consideration, the bill or the proposal of revision must be voted by a majority of three-fourths (3/4) of the members composing the National Assembly.
If the bill or the proposal in question was approved by a majority of four-fifths (4/5) of the members of the National Assembly, the revision is adopted. In default, the bill or the proposal is submitted to referendum unless there is abandonment of the said bill or proposal.
ARTICLE 175
No procedure of revision may be engaged or followed when the integrity of the territory is infringed.
The republican form of the State, the multiparty system, the principle of the separation of State and religion and the provisions of paragraphs 1 and 2 of Article 47 and of Article 185 of this Constitution may not be made the object of any revision.
No procedure of revision of this Article is receivable.</t>
  </si>
  <si>
    <t>99-102</t>
  </si>
  <si>
    <t>ARTICLE 99
1. This Constitution may be amended at any time by the National Popular Assembly.
2. The initiative to revise the Constitution shall belong to Deputies, to the Council of State, and to the Government.
ARTICLE 100
1. The proposal for revision shall indicate the articles that must be revised and the sense of the changes to be introduced.
2. A proposed law for revision must be submitted by at least one-third of the Deputies actively in office, by the Council of State, or by the Government.
ARTICLE 101
Proposals for revision must be approved by the majority of two-thirds of the Deputies comprising the Assembly.
ARTICLE 102
No proposal for revision may impose upon:
a.the unitary structure or republican form of the State;
b.the Laic Statute of the State;
c.the integrity of national territory.</t>
  </si>
  <si>
    <t>who can propse amendment</t>
  </si>
  <si>
    <t>148. AMENDMENT TO CONSTITUTION
1. A Bill to amend or repeal any Article of this Constitution may be introduced in the Legislature-Parliament.
2. If a Bill introduced pursuant to Clause (1) is approved by at least two-thirds of all the then members of the Legislature-Parliament, the Bill shall be deemed to have been passed.</t>
  </si>
  <si>
    <t>7b, 142</t>
  </si>
  <si>
    <t>7B. BASIC PROVISIONS OF THE CONSTITUTION ARE NOT AMENDABLE
Notwithstanding anything contained in article 142 of the Constitution, the preamble, all articles of Part I, all articles of Part II, subject to the provisions of Part IXA all articles of Part III, and the provisions of articles relating to the basic structures of the Constitution including article 150 of Part XI shall not be amendable by way of insertion, modification, substitution, repeal or by any other means. 
142. POWER TO AMEND ANY PROVISION OF THE CONSTITUTION
1. Notwithstanding anything contained in this Constitution-
a.any provision thereof may by amended by way of addition, alteration, substitution or repeal by Act of Parliament:
Provided that-
i.no Bill for such amendment shall be allowed to proceed unless the long title thereof expressly states that it will amend a provision of the Constitution;
ii.no such Bill shall be presented to the President for assent unless it is passed by the votes of not less than two thirds of the total number of members of Parliament;
b.when a Bill passed as aforesaid is presented to the President for his assent he shall, within the period of seven days after the Bill is presented to him assent to the Bill, and if he fails so to do he shall be deemed to have assented to it on the expiration of that period.</t>
  </si>
  <si>
    <t>75, 82-85</t>
  </si>
  <si>
    <t>Parliament shall have power to make laws, including laws having retrospective effect and repealing or amending any provision of the Constitution, or adding any provision to the Constitution:
Provided that Parliament shall not make any law—
a.suspending the operation of the Constitution or any part thereof, or
b.repealing the Constitution as a whole unless such law also enacts a new Constitution to replace it. 82. AMENDMENT OR REPEAL OF THE CONSTITUTION MUST BE EXPRESSED
1. No Bill for the amendment of any provision of the Constitution shall be placed on the Order Paper of Parliament, unless the provision to be repealed, altered or added, and consequential amendments, if any, are expressly specified in the Bill and is described in the long title thereof as being an Act for the amendment of the Constitution.
2. No Bill for the repeal of the Constitution shall be placed on the Order Paper of Parliament unless the Bill contains provisions replacing the Constitution and is described in the long title thereof as being an Act for the repeal and replacement of the Constitution.
3. If in the opinion of the Speaker, a Bill does not comply with the requirements of paragraph (1) or paragraph (2) of this Article, he shall direct that such Bill be not proceeded with unless it is amended so as to comply with those requirements.
4. Notwithstanding anything in the preceding provisions of this Article, it shall be lawful for a Bill which complies with the requirements of paragraph (1) or paragraph (2) of this Article to be amended by Parliament provided that the Bill as so amended shall comply with those requirements.
5. A Bill for the amendment of any provision of the Constitution or for the repeal and replacement of the Con­stitution, shall become law if the number of votes cast in favour thereof amounts to not less than two-thirds of the whole number of Members (including those not present) and upon a certificate by the President or the Speaker, as the case may be, being endorsed thereon in accordance with the provisions of Article 80 or 79.
6. No provision in any law shall, or shall be deemed to, amend, repeal or replace the Constitution or any provision thereof, or be so interpreted or construed, unless enacted in accordance with the requirements of the preceding provi­sions of this Article.
7. In this Chapter, “amendment” includes repeal, alteration and addition.
83. APPROVAL OF CERTAIN BILLS AT A REFERENDUM
Share
Notwithstanding anything to the contrary in the pro­visions of Article 82—
a.a Bill for the amendment or for the repeal and replacement of or which is inconsistent with any of the provisions of Articles 1, 2, 3, 6, 7, 8, 9, 10 and 11, or of this Article, and
b.a Bill for the amendment or for the repeal and replacement of or which is inconsistent with the provisions of paragraph (2) of Article 30 or of paragraph (2) of Article 62 which would extend the term of office of the President or the duration of Parliament, as the case may be, to over six years,
shall become law if the number of votes cast in favour thereof amounts to not less than two-thirds of the whole number of Members (including those not present), is approved by the People at a Referendum and a certificate is endorsed thereon by the President in accordance with Article 80.
84. BILLS INCONSISTENT WITH THE CONSTITUTION
Share
1. A Bill which is not for the amendment of any provision of the Constitution or for the repeal and replacement of the Constitution, but which is inconsistent with any provision of the Constitution may he placed on the Order Paper of Parliament without complying with the requirements of paragraph (1) or paragraph (2) of Article 82.
2. Where the Cabinet of Ministers has certified that a Bill is intended to be passed by the special majority required by this Article or where the Supreme Court has determined that a Bill requires to be passed by such special majority, such Bill shall become law only if the number of votes cast in favour thereof amounts to not less than two-thirds of the whole number of Members (including those not present) and a certificate by the President or the Speaker, as the case may be, is endorsed thereon in accordance with the provisions of Article 80 or 79.
3. Such a Bill when enacted into law shall not, and shall not be deemed to, amend, repeal or replace the Constitution or any provision thereof, and shall not be so interpreted or construed, and may thereafter be repealed by a majority of the votes of the Members present and voting.85. SUBMISSION OF BILLS TO PEOPLE BY REFERENDUM
Share
1. The President shall submit to the People by Referendum every Bill or any provision in any Bill which the Cabinet of Ministers has certified as being intended to be submitted to the People by Referendum, or which the Supreme Court has determined as requiring the approval of the People at a Referendum if the number of votes cast in favour of such Bill amounts to not less than two-thirds of the whole number of Members (including those not present).
2. The President may in his discretion submit to the People by Referendum any Bill (not being a Bill for the repeal or amendment of any provision of the Constitution, or for the addition of any provision to the Constitution, or for the repeal and replacement of the Constitution, or which is inconsistent with any provision of the Constitution), which has been rejected by Parliament.
3. Any Bill or any provision in any Bill submitted to the People by Referendum shall be deemed to be approved by the People if approved by an absolute majority of the valid votes cast at such Referendum:
Provided that when the total number of valid votes cast does not exceed two-thirds of the whole number of electors entered in the register of electors, such Bill shall be deemed to be approved only if approved by not less than one-third of the whole number of such electors.</t>
  </si>
  <si>
    <t>131, 132</t>
  </si>
  <si>
    <t>ARTICLE 131. ENTRENCHMENT OF FUNDAMENTAL RIGHTS AND FREEDOMS
No repeal or amendment of any of the provisions of Chapter 3 hereof, in so far as such repeal or amendment diminishes or detracts from the fundamental rights and freedoms contained and defined in that Chapter, shall be permissible under this Constitution, and no such purported repeal or amendment shall be valid or have any force or effect.
ARTICLE 132. REPEAL AND AMENDMENT OF THE CONSTITUTION
1. Any bill seeking to repeal or amend any provision of this Constitution shall indicate the proposed repeals and/or amendments with reference to the specific Articles sought to be repealed and/or amended and shall not deal with any matter other than the proposed repeals or amendments.
2. The majorities required in Parliament for the repeal and/or amendment of any of the provisions of this Constitution shall be:
a.two-thirds of all the members of the National Assembly; and
b.two-thirds of all the members of the National Council.
3. a. Notwithstanding the provisions of Sub-Article (2) hereof, if a bill proposing a repeal and/or amendment of any of the provisions of this Constitution secures a majority of two-thirds of all the members of the National Assembly, but fails to secure a majority of two-thirds of all the members of the National Council, the President may by Proclamation make the bill containing the proposed repeals and/or amendments the subject of a national referendum.
b. The national referendum referred to in Sub-Article (a) hereof shall be conducted in accordance with procedures prescribed for the holding of referenda by Act of Parliament.
c. If upon the holding of such a referendum the bill containing the proposed repeals and/or amendments is approved by a two-thirds majority of all the votes cast in the referendum, the bill shall be deemed to have been passed in accordance with the provisions of this Constitution, and the President shall deal with it in terms of Article 56 hereof.
4. No repeal or amendment of this Sub-Article or Sub-Articles (2) or (3) hereof in so far as it seeks to diminish or detract from the majorities required in Parliament or in a referendum shall be permissible under this Constitution, and no such purported repeal or amendment shall be valid or have any force or effect.
5. Nothing contained in this Article:
a.shall detract in any way from the entrenchment provided for in Article 131 hereof of the fundamental rights and freedoms contained and defined in Chapter 3 hereof;
b.shall prevent Parliament from changing its own composition or structures by amending or repealing any of the provisions of this Constitution: provided always that such repeals or amendments are effected in accordance with the provisions of this Constitution.</t>
  </si>
  <si>
    <t>92.3, (108 for legislation), 134-137</t>
  </si>
  <si>
    <t>Congo, Democratic Republic of (Zaire)</t>
  </si>
  <si>
    <t>125, 218-220</t>
  </si>
  <si>
    <t>ARTICLE 125
Share
When a Bill or a Proposal of law has been declared urgent by the Government, it is examined by priority in each Chamber by the competent commission following the procedure specified by the Internal Regulations of each of them.
The normal procedure is applied to the proposals or to the Bills of law involving amendment to the Constitution or modifying the organic laws as well as to the Bills of enabling law [loi d'habilitation] established in Article 129. ARTICLE 218
Share
[Amended by Law No. 11/002 of 20 January 2011.]
The initiative of the constitutional revision belongs concurrently:
1.to the President of the Republic;
2.to the Government after deliberation in the Council of Ministers;
3.to either of the Chambers of the Parliament at the initiative of half of its members;
4.to a fraction of the Congolese people, with the concurrence of 100,000 persons, expressed by petition addressed to one of the two Chambers.
Each of these initiatives is submitted to the National Assembly and to the Senate which decide, with the absolute majority of each Chamber, on the substance of the Bill, of the proposal or of the petition for revision.
The revision is only definitive if the Bill, the proposal or the petition is approved by referendum on the convocation of the President of the Republic.
However, the Bill, the proposal or the petition is not submitted to referendum when the National Assembly and the Senate meeting in Congress approve it by the majority of three-fifths of the members composing it.
ARTICLE 219
Share
No revision may intervene during the state of war, the state of urgency or the state of siege, or during the interim in the Presidency of the Republic or when the National Assembly and the Senate are prevented from meeting freely.
ARTICLE 220
Share
The republican form of the State, the principle of universal suffrage, the representative form of Government, the number and the duration of the mandates of the President of the Republic, the independence of the Judicial Power, [and] political and trade union pluralism, cannot be made the object of any constitutional revision.
Any constitutional revision having for its object or for [its] effect the reduction of the rights and freedoms of the person or the reduction [of] the prerogatives of the Provinces and the decentralized territorial entities is formally prohibited.</t>
  </si>
  <si>
    <t>136.3, 291-296</t>
  </si>
  <si>
    <t>3. The following matters may not be the subject of referenda:
a.Amendments to the Constitution, with the exception of those in article 292 (1); ARTICLE 291. INITIATIVE
Share
1. Proposals to amend the Constitution shall be introduced on the initiative of the President of the Republic or of at least one third of the deputies of the Assembly of the Republic.
2. Proposed amendments to the Constitution shall be laid before the Assembly of the Republic ninety days before the opening of debate.
ARTICLE 292. RESTRICTIONS AS TO SUBJECT MATTER
Share
1. Constitutional amendment laws shall have to respect the following:
a.the independence, the sovereignty and the unity of the State;
b.the republican form of Government;
c.the separation between religious denominations and the State;
d.the fundamental rights, freedoms and guarantees;
e.universal, direct, secret, personal, equal and periodic suffrage for the appointment of elective sovereign public offices and elective offices of local administration;
f.pluralism of expression and of political organisation, including political parties and the right of democratic opposition;
g.the separation and interdependence of the sovereign public offices;
h.the scrutiny of constitutionality;
i.the independence of the judiciary;
j.the autonomy of local authorities;
k.the rights of workers and trade unions;
l.the rules governing nationality, which cannot be amended in such a way as to restrict or remove rights of citizenship.
2. Amendments pertaining to the matters listed in the preceding paragraph must, obligatorily, be submitted to a referendum.
ARTICLE 293. RESTRICTIONS AS TO TIME
Share
The Constitution may only be amended after five years have passed since the last amending legislation entered into force, except when a decision to assume extraordinary amending powers has been passed by a majority of three quarters of the deputies in the Assembly of the Republic.
ARTICLE 294. RESTRICTIONS AS TO CIRCUMSTANCES
Share
No amendments to the Constitution shall be passed during a state of siege or state of emergency.
ARTICLE 295. VOTING AND FORM
Share
1. Amendments to the Constitution shall be carried by a majority of two thirds of the deputies of the Assembly of the Republic.
2. The constitutional amendments that are approved shall be consolidated into a single amending law.
3. The President of the Republic cannot refuse to enact the amending law.
ARTICLE 296. CONSTITUTIONAL AMENDMENTS
Share
1. Amendments to the Constitution shall be inserted into the appropriate place, by making the necessary substitutions, deletions and additions.
2. The Constitution, as amended, shall be published together with the amending law.</t>
  </si>
  <si>
    <t>108. ALTERATION OF THIS CONSTITUTION
1. Subject to the provisions of this section, Parliament may alter this Constitution.
2. A Bill for an Act of Parliament under this section shall not be passed by Parliament unless—
a.before the first reading of the Bill in Parliament the text of the Bill is published in at least two issues of the Gazette:
Provided that not less than nine days shall elapse between the first publication of the Bill in the Gazette and the second publication; and
b.the Bill is supported on the second and third readings by the votes of not less than two-thirds of the Members of Parliament.
3. A Bill for an Act of Parliament enacting a new Constitution or altering any of the following provisions of this Constitution, that is to say—
a.this section,
b.Chapter III,
c.sections 46, 56, 72, 73, 74(2), 74(3), 84(2), 85, 87, 105, 110–119, 120, 121, 122, 123, 124, 128, 129, 131, 132, 133, 135, 136, 137, 140, 151, 156, 167,
shall not be submitted to the President for his assent and shall not become law unless the Bill, after it has been passed by Parliament and in the form in which it was so passed, has, in accordance with the provisions of any law in that behalf, been submitted to and been approved at a referendum.
4. Every person who is entitled to vote in the elections of Members of Parliament shall be entitled to vote at a referendum held for the purposes of subsection (3) and no other person may so vote; and the Bill shall not be regarded as having been approved at the referendum unless it was so approved by the votes of not less than one-half of all such persons and by not less than two-thirds of all the votes validly cast at the referendum:
Provided that in calculating the total number of persons entitled to vote at such referendum, the names of deceased persons, of persons disqualified as electors, and of persons duplicated in the register of electors and so certified by the Electoral Commission, shall not be taken into account.
5. The conduct of any referendum for the purposes of subsection (3) of this section shall be under the general supervision of the Electoral Commission and the provisions of subsections (4), (5) and (6) of section 38 of this Constitution shall apply in relation to the exercise by the Electoral Commission of its functions with respect to a referendum as they apply in relation to the exercise of its functions with respect to elections of Members of Parliament.
6. A Bill for an Act of Parliament under this section shall not be submitted to the President for his signature unless it is accompanied by a certificate under the hand of the Speaker of Parliament (or, if the Speaker is for any reason unable to exercise the functions of his office, the Deputy Speaker) that the provisions of subsections (3) and (4) of this section have been complied with, and every such certificate shall be conclusive for all purposes and shall not be inquired in any court.
7. No Act of Parliament shall be deemed to amend, add to or repeal or in any way alter any of the provisions of this Constitution unless it does so in express terms.
8. Any suspension, alteration, or repeal of this Constitution other than on the authority of Parliament shall be deemed to be an act of Treason.
9. In this section—
a.references to this Constitution include references to any law that amends or replaces any of the provisions of this Constitution; and
b.references to the alteration of this Constitution or of any Chapter or section of this Constitution include references to the amendment, modification or re-enactment, with or without amendment or modification, of any provision for the time being contained in this Constitution or Chapter or section thereof, the suspension or repeal of any such provision, the making of different provision in lieu of such provision and the addition of new provisions to this Constitution or Chapter or section thereof, and references to the alteration of any particular provision of this Constitution shall be construed likewise.</t>
  </si>
  <si>
    <t>282-284</t>
  </si>
  <si>
    <t>ARTICLE 282
On the recommendation, with reason given to support it, of one of the two (2) Chambers or of the Executive Power, the Legislature may declare that the Constitution should be amended.
ARTICLE 282-1
This declaration must be supported by two-thirds (2/3) of each of the two (2) Chambers. It may made only in the course of the last Regular Session of the Legislative period and shall be published immediately throughout the territory.
ARTICLE 283
At the first session of the following legislature period, the Chambers shall meet in a National Assembly and decide on the proposed amendment.
ARTICLE 284
The National Assembly may not sit or deliberate on the amendment unless at least two-thirds (2/3) of the members of each of the two (2) Chambers are present.
ARTICLE 284-1
No decision of the National Assembly may be taken without a majority of two- thirds (2/3) of the votes cast.
ARTICLE 284-2
The amendment passed may enter into effect only after installation of the next elected President. In no case may the President under the Government that approved the amendment benefit from any advantages deriving there from.
ARTICLE 284-3
General elections to amend the Constitution by referendum are strictly forbidden.
ARTICLE 284-4
No amendment to the Constitution may effect the democratic and republican nature of the State.</t>
  </si>
  <si>
    <t>1. Subject to the provisions of this Article, Parliament may alter this Constitution or the Constitution of Zambia Act, 1991.
2. Subject to cause (3) a bill for the alteration of this Constitution or the Constitution of Zambia Act, 1991 shall not be passed unless—
a.not less than thirty days before the first reading of the bill in the National Assembly the text of the bill is published in the Gazette; and
b.the bill is supported on second and third readings by the votes of not less than two thirds of all the members of the Assembly.
3. A bill for the alteration of Part III of this Constitution or of this Article shall not be passed unless before the first reading of the bill in the National Assembly it has been put to a National referendum with or without amendment by not less than fifty percent of persons entitled to be registered as voters for the purposes of Presidential and parliamentary elections.
4. Any referendum conducted for the purposes of clause (3) shall be so conducted and supervised in such manner as may be prescribed by or under an Act of Parliament.
5. In this Article—
a.references to this Constitution or the Constitution of Zambia Act, 1991 include reference to any law that amends or replaces any of the provisions of this Constitution or that Act; and
b.references to the alteration of this Constitution or the Constitution of Zambia Act, 1991 or of any Part or Article include references to the amendment, modification or reenactment with or without amendment or modification, of any provision for the time being contained in this Constitution, that Act, Part or Article, the suspension or repeal or any such provision and the making of different provision in lieu of such provision, and the addition of new provisions, to this Constitution, that Act, Part or Article.
6. Nothing in this Article shall be so construed as to require the publication of any amendment to any such bill as is referred to in clause (2) proposed to be moved in the National Assembly.</t>
  </si>
  <si>
    <t>publishing in gazette</t>
  </si>
  <si>
    <t>africa</t>
  </si>
  <si>
    <t>referenda</t>
  </si>
  <si>
    <t>latin america</t>
  </si>
  <si>
    <t>111-114</t>
  </si>
  <si>
    <t xml:space="preserve">The Constitution shall be adopted or amended by referendum, which may be initiated by the President of the Republic or the National Assembly.
The President of the Republic shall call a referendum upon the request or agreement of the National Assembly. A majority vote of the total number of the Deputies is required for such a decision of the National Assembly.
The President of the Republic may remand the Draft Constitution or the draft of constitutional amendments, within twenty-one days following their submission, back to the National Assembly, with his or her objections and suggestions, requesting a reexamination.
The President of the Republic will submit to a referendum, within the period prescribed by the National Assembly, a draft Constitution or draft constitutional amendments when they are reintroduced by at least two-thirds of the total number of Deputies of the National Assembly.
If the initiative belongs to the President of the Republic, the National Assembly shall, within a three-month period following the receipt of the draft of the Constitution or amendments thereof, put the motion on holding a referendum on the draft to the vote. If the majority of the total number of the Deputies of the National Assembly vote for the draft, the latter shall be deemed adopted and the President of the Republic shall hold a referendum on the date set up by himself/herself.
ARTICLE 112
Laws may be submitted to a referendum upon the request of the National Assembly or the Government in accordance with Article 111 of the Constitution.
Laws passed by referendum may only be amended by referendum.
ARTICLE 113
The draft submitted to a referendum shall be considered to have been passed if it receives more than fifty percent of the votes, but not less than one-fourth of the number of registered voters.
ARTICLE 114
Articles 1, 2 and 114 of the Constitution may not be amended.
</t>
  </si>
  <si>
    <t>72, 83, 181</t>
  </si>
  <si>
    <t>Without prejudice to what is reserved elsewhere in the Constitution for regulation by law, the following subjects shall certainly be determined by law:
a.Treaties, subject to what is determined in article 104;
b.The amending of the Constitution;
c.The declaration or the termination of the state of war, the civil or military state of emergency
d.The determination and change of the political-administrative partitioning of the Republic of Suriname;
e.The determination of the extent and boundaries of the territorial waters and the rights of the Republic of Suriname to the adjacent continental shelf and the economic zone;
f.The creation of a development council for national development;
g.The granting of amnesty or pardon.
ARTICLE 83
1. The National Assembly may not commence deliberation or take decisions if no more than one half its members are present.
2. All decisions of the National Assembly shall be taken by a normal majority of votes, except for the provisions of paragraph 3 of the present Article, and of Article 60, Article 70 [paragraph 2], and Article 84, paragraph 4.
3. A majority of at least 2/3 of the constitutional number of members of the National Assembly shall be required for decisions concerning:
a.The Amendment of the Constitution;
b.The Amdendment of the electoral act insofar as it involves the subjects indicated in Article 60;
c.The election of the President;
d.The election of the Vice-President;
e.The organization of a People's Assembly, subject to the provisions of Article 181, paragraph 2;
f.The organization of a plebiscite. 
ARTICLE 181
1. The People’s Assembly consists of: o the National Assembly o the District Councils; o the Local Councils.
2. The People's Assembly shall convene for the third vote:
a.In case of amending of the Constitution with regard to the powers and tasks of the representatives in the several representative bides, whereto the consent of at least 2/3 of the number of valid votes is required, if that majority cannot be obtained after two rounds of voting in the National Assembly.
b.For the election of the President and the Vice-President, in case none of the candidates has obtained the constitutional majority after two rounds of voting in the National Assembly,
c.In case a decision shall be taken by law by absolute majority with regard to the possible discharge of the President, if the National Assembly does not reach consensus on the matter.
d.Repealed.
3. Decisions in the People's Assembly shall be taken by ordinary majority of the votes cast, if more than half of the number of functioning members of the bodies referred to in paragraph 1, are present.</t>
  </si>
  <si>
    <t>340-346</t>
  </si>
  <si>
    <t>The purpose of an amendment is to add to or modify one or more articles of the Constitution, without altering the fundamental structure of the same.
ARTICLE 341
The procedure for adopting amendments to the Constitution shall be as follows:
1.The initiative may emanate from 15% of the citizens registered with the Civil and Electoral Registry, from 39% of the members of the National Assembly or from the President of the Republic, sitting with the Cabinet of Ministers.
2.When the initiative emanates from the National Assembly, the amendment shall require approval by a majority of the members of that body, and shall be debated in accordance with the procedure established under this Constitution for the enactment of laws.
3.Electoral Power shall submit the amendments to a referendum within 30 days of formally receiving the same.
4.Amendments shall be deemed approved in accordance with the provisions of this Constitution and the law concerning the approval referendum.
5.Amendments shall be numbered consecutively and shall be published beneath the Constitution without altering the text of the latter, but with an annotation at the bottom of the amended article(s) of the number and date of the amendment modifying the same.
CHAPTER II. CONSTITUTIONAL REFORM
Share
ARTICLE 342
The purpose of constitutional reform is to effect a partial revision of this Constitution and replacement of one or more of the provisions hereof, without modifying the fundamental principles and structure of the text of the Constitution.
The initiative for a constitutional reform emanates from the National Assembly, by resolution approved by a majority vote of the members, from the President of the Republic sitting with the Cabinet of Ministers, or at the request of registered voters constituting at least 15% of the total number registered with the Civil and Electoral Registry.
ARTICLE 343
The initiative for a constitution reform shall be processed by the National Assembly as follows:
1.The draft constitutional reform shall be debated for the first time during the legislative session during which it is submitted.
2.Second debate title by title or chapter by chapter, as applicable.
3.Third and last debate article by article.
4.The National Assembly shall approve the draft constitutional reform in a time period no later than two years, counted since the date the reform application was submitted and approved.
5.The draft constitutional reform shall be approved with a two third members vote of the National Assembly.
ARTICLE 344
Once approved by the National Assembly, the draft constitutional reform shall be submitted to a referendum within 30 days from its approval. The referendum shall pass on the reform as a whole, but up to one third of the same may be voted on separately, if at least one third of the National Assembly so agrees, or if in the initiative for the reform, the President of the Republic or a number of registered voters equivalent to at least 5% of the total registered with the Civil and Electoral Registry so requests.
ARTICLE 345
The constitutional reform shall be declared approved if the number of affirmative votes is greater than the number of negative votes. A revised constitutional reform initiative may not be submitted during the same constitutional term of office of the National Assembly.
ARTICLE 346
The President of the Republic shall be obligated to promulgate Amendments and Reforms within ten days of their approval. If he fails to do so, the applicable provisions of this Constitution shall apply.</t>
  </si>
  <si>
    <t>68.4, 102, 103</t>
  </si>
  <si>
    <t>cannot refuse to promulgate</t>
  </si>
  <si>
    <t>26, 68-70</t>
  </si>
  <si>
    <t>46. MODE OF EXERCISE OF LEGISLATIVE POWER
Share
1. The power of Parliament to make laws shall be exercisable by Bills passed by the Assembly and assented to by the President.
2. a. Subject to paragraphs (b) and (c), where a Bill is submitted to the President for assent in accordance with this Constitution he shall signify that he assents or that he withholds assent.
b. The President shall not withhold assent under paragraph (a) -
i.in the case of a Bill which makes provision for any of the purposes specified in section 54;
ii.in the case of a Bill which amends any provision of the Constitution and which is certified by the speaker as having complied with the requirements of section 47;
iii.in the case of any other Bill, unless he is of opinion, acting in his own deliberate judgment, that the Bill including any proposed amendment thereto, should be reconsidered by the Assembly.
c. Where the President withholds assent under paragraph (b) (iii), he shall, within 21 days of the submission of the Bill for assent, return the Bill to the Assembly with a request that it should reconsider the Bill, including any proposed amendment thereto.
d. Where a Bill is returned to the Assembly under paragraph (c), the Assembly shall reconsider the Bill accordingly, and where it is passed again by the Assembly with or without amendment and submitted anew to the President for assent, the President shall signify his assent.
3. Where the President assents to a Bill that has been submitted to him in accordance with this Constitution, the Bill shall become law and the President shall thereupon cause it to be published in the Gazette as a law.
4. No law made by Parliament shall come into operation until it has been published in the Gazette but Parliament may postpone the coming into operation of any such law and may make laws with retrospective effect.
5. All laws made by Parliament shall be styled "Acts of Parliament" and the words of enactment shall be "Enacted by the Parliament of Mauritius."
47. ALTERATION OF CONSTITUTION
Share
1. Subject to this section, Parliament may alter this Constitution.
2. A Bill for an Act of Parliament to alter any of the following provisions of this Constitution
a.this section;
b.sections 28 to 31, 37 to 46, 56 to 58 other than 57(2), 64, 65, 71, 72 and 108;
c.Chapters II, VII, VIII and IX;
d.the First Schedule, and
e.Chapter XI, to the extent that it relates to any of the provisions specified in paragraphs (a) to (d),
shall not be passed by the Assembly unless it is supported at the final voting in the Assembly by the votes of not less than three quarters of all the members of the Assembly.
3. A Bill for an Act of Parliament to alter the provisions of section 1 or 57(2) shall not be passed by the Assembly unless
a.the proposed Bill has before its introduction in the Assembly been submitted, by referendum, to the electorate of Mauritius and has been approved by the votes of not less than three quarters of the electorate;
b.it is supported at the final voting in the Assembly by the votes of all the members of the Assembly.
4. A Bill for an Act of Parliament to alter any provision of this Constitution (but which does not alter any of the provisions of this Constitution as specified in subsection (2)) shall not be passed by the Assembly unless it is supported at the final voting in the Assembly by the votes of not less than two-thirds of all the members of the Assembly.
5. In this section, references to altering this Constitution or any part of this Constitution include references
a.to revoking it, with or without re-enactment or the making of different provision;
b.to modifying it, whether by omitting or amending any of its provisions or inserting additional provisions in it or otherwise; and
c.to suspending its operation for any period, or terminating any such suspension.</t>
  </si>
  <si>
    <t>18.4, 54</t>
  </si>
  <si>
    <t>4. The President may from time to time, by Order subject to affirmative resolution of the Senate and the House of Representatives amend subsection (3) by adding any Commonwealth country thereto or by deleting any Commonwealth country therefrom.
 54. ALTERATION OF THIS CONSTITUTION
1. Subject to the provisions of this section, Parliament may alter any of the provisions of this Constitution or (in so far as it forms part of the law of Trinidad and Tobago) any of the provisions of the Trinidad and Tobago Independence Act, 1962.
2. In so far as it alters—
a.sections 4 to 14, 20(b), 21, 43(1), 53, 58, 67(2), 70, 83, 101 to 108, 110, 113, 116 to 125 and 133 to 137; or
b.section 3 in its application to any of the provisions of this Constitution specified in paragraph (a),
a Bill for an Act under this section shall not be passed by Parliament unless at the final vote thereon in each House it is supported by the votes of not less than two-thirds of all the members of each House.
3. In so far as it alters—
a.this section;
b.sections 22, 23, 24, 26, 28 to 34, 38 to 40, 46, 49(1), 51, 55, 61, 63, 64, 68, 69, 71, 72, 87 to 91, 93, 96(4) and (5), 97, 109, 115, 138, 139 or the Second and Third Schedules;
c.section 3 in its application to any of the provisions specified in paragraph (a) or (b); or
d.any of the provisions of the Trinidad and Tobago Independence Act, 1962,
a Bill for an Act under this section shall not be passed by Parliament unless it is supported at the final vote thereon—
i.in the House of Representatives by the votes of not less than three-fourths of all the members of the House; and
ii.in the Senate by the votes of not less than two-thirds of all the members of the Senate.
4. For the purposes of subsections (2) and (3) the number of members of the Senate shall, even though circumstances requiring the appointment of temporary members in accordance with section 44(1) have arisen, continue to be the number of members specified in section 40(1).
5. No Act other than an Act making provision for any particular case or class of case, inconsistent with provisions of this Constitution, not being those referred to in subsections (2) and (3), shall be construed as altering any of the provisions of this Constitution, or (in so far as it forms part of the law of Trinidad and Tobago) any of the provisions of the Trinidad and Tobago Independence Act, 1962, unless it is stated in the Act that it is an Act for that purpose.
6. In this section references to the alteration of any of the provisions of this Constitution or the Trinidad and Tobago Independence Act, 1962, include references to repealing it, with or without re-enactment thereof or the making of different provisions in place thereof or the making of provision for any particular case or class of case inconsistent therewith, to modifying it and to suspending its operation for any period.</t>
  </si>
  <si>
    <t>ARTICLE 182
1. The Articles or parts of Articles of this Constitution set out in Annex III hereto which have been incorporated from the Zurich Agreement dated 11th February, 1959, are the basic Articles of this Constitution and cannot, in any way, be amended, whether by way of variation, addition or repeal.
2. Subject to paragraph 1 of this Article any provision of this Constitution may be amended, whether by way of variation, addition or repeal, as provided in paragraph 3 of this Article.
3. Such amendment shall be made by a law passed by a majority vote comprising at least two-thirds of the total number of the Representatives belonging to the Greek Community and at least two-thirds of the total number of the Representatives belonging to the Turkish Community.</t>
  </si>
  <si>
    <t>ARTICLE 12
Amendment of the Constitution shall be initiated upon the proposal of one-fourth of the total members of the Legislative Yuan, passed by at least three-fourths of the members present at a meeting attended by at least three-fourths of the total members of the Legislative Yuan, and sanctioned by electors in the free area of the Republic of China at a referendum held upon expiration of a six-month period of public announcement of the proposal, wherein the number of valid votes in favor exceeds one-half of the total number of electors. The provisions of Article 174 of the Constitution shall not apply.</t>
  </si>
  <si>
    <t>additional' article 12 (replaces 174)** (previously discussed in articles: 27, 30, 174, additional article 1, )</t>
  </si>
  <si>
    <t>49. ALTERATION OF THIS CONSTITUTION
1. Subject to the provisions of this section Parliament may by Act of Parliament passed by both Houses alter any of the provisions of this Constitution or (in so far as it forms part of the law of Jamaica) any of the provisions of the Jamaica Independence Act, 1962 [FN: 10 &amp; 11 Eliz. 2 c. 40].
2. In so far as it alters—
a.sections 13, 14, 15, 16, 17, 18, 19, 20, 21, 22, 23, 24, 25, 26, subsection (3) of section 48, sections 66, 67, 82, 83, 84, 85, 86, 87, 88, 89, 90, 91, 94, subsections (2), (3), (4), (5), (6) or (7) of section 96, sections 97, 98, 99, subsections (3), (4), (5), (6), (7), (8) or (9) of section 100, sections 101, 103, 104, 105, subsections (3), (4), (5), (6), (7), (8) or (9) of section 106, subsections (1), (2), (4), (5), (6), (7), (8), (9) or (10) of section 111, sections 112, 113, 114, 116, 117, 118, 119, 120, subsections (2), (3), (4), (5), (6) or (7) of section 121, sections 122, 124, 125, subsection (1) of section 126, sections 127, 129, 130, 131, 135 or 136 or the Second or Third Schedule to this Constitution; or
b.section 1 of this Constitution in its application to any of the provisions specified in paragraph (a) of this subsection,
a Bill for an Act of Parliament under this section shall not be submitted to the Governor-General for his assent unless a period of three months has elapsed between the introduction of the Bill into the House of Representatives and the commencement of the first debate on the whole text of that Bill in that House and a further period of three months has elapsed between the conclusion of that debate and the passing of that Bill by that House.
3. In so far as it alters—
a.this section;
b.sections 2, 34, 35, 36, 39, subsection (2) of section 63, subsections (2), (3) or (5) of section 64, section 65, or subsection (1) of section 68 of this Constitution;
c.section 1 of this Constitution in its application to any of the provisions specified in paragraph (a) or (b) of this subsection; or
d.any of the provisions of the Jamaica Independence Act, 1962 [FN: 10 &amp; 11 Eliz 2 c 40], a Bill for an Act of Parliament under this section shall not be submitted to the Governor-General for his assent unless—
i.a period of three months has elapsed between the introduction of the Bill into the House of Representatives and the commencement of the first debate on the whole text of that Bill in that House and a further period of three months has elapsed between the conclusion of that debate and the passing of that Bill by that House, and
ii.subject to the provisions of subsection (6) of this section, the Bill, not less than two nor more than six months after its passage through both Houses, has been submitted to the electors qualified to vote for the election of members of the House of Representatives and, on a vote taken in such manner as Parliament may prescribe, the majority of the electors voting have approved the Bill.
4. A Bill for an Act of Parliament under this section shall not be deemed to be passed in either House unless at the final vote thereon it is supported—
a.in the case of a Bill which alters any of the provisions specified in subsection (2) or subsection (3) of this section by the votes of not less than two-thirds of all the members of that House, or
b.in any other case by the votes of a majority of all the members of that House.
5. If a Bill for an Act of Parliament which alters any of the provisions specified in subsection (2) of this section is passed by the House of Representatives—
a.twice in the same session in the manner prescribed by subsection (2) and paragraph (a) of subsection (4) of this section and having been sent to the Senate on the first occasion at least seven months before the end of the session and on the second occasion at least one month before the end of the session, is rejected by the Senate on each occasion, or
b.in two successive sessions (whether of the same Parliament or not) in the manner prescribed by subsection (2) and paragraph (a) of subsection (4) of this section and, having been sent to the Senate in each of those sessions at least one month before the end of the session, the second occasion being at least six months after the first occasion, is rejected by the Senate in each of those sessions,
that Bill may, not less than two nor more than six months after its rejection by the Senate for the second time, be submitted to the electors qualified to vote for the election of members of the House of Representatives and, if on a vote taken in such manner as Parliament may prescribe, three-fifths of the electors voting approve the Bill, the Bill may be presented to the Governor-General for assent.
6. If a Bill for an Act of Parliament which alters any of the provisions specified in subsection (3) of this section is passed by the House of Representatives—
a.twice in the same session in the manner prescribed by subsection (3) and paragraph (a) of subsection (4) of this section and having been sent to the Senate on the first occasion at least seven months before the end of the session and on the second occasion at least one month before the end of the session, is rejected by the Senate on each occasion, or
b.in two successive sessions (whether of the same Parliament or not) in the manner prescribed by subsection (3) and paragraph (a) of subsection (4) of this section and, having been sent to the Senate in each of those sessions at least one month before the end of the session, the second occasion being at least six months after the first occasion, is rejected by the Senate in each of those sessions,
that Bill may, not less than two nor more than six months after its rejection by the Senate for the second time, be submitted to the electors qualified to vote for the election of members of the House of Representatives and, if on a vote taken in such manner as Parliament may prescribe, two-thirds of the electors voting approve the Bill, the Bill may be presented to the Governor-General for assent.
7. For the purposes of subsection (5) and subsection (6) of this section a Bill shall be deemed to be rejected by the Senate if—
a.it is not passed by the Senate in the manner prescribed by paragraph (a) of subsection (4) of this section within one month after it is sent to that House; or
b.it is passed by the Senate in the manner so prescribed with any amendment which is not agreed to by the House of Representatives.
8. For the purposes of subsection (5) and subsection (6) of this section a Bill that is sent to the Senate from the House of Representatives in any session shall be deemed to be the same Bill as the former Bill sent to the Senate in the same or in the preceding session if, when it is sent to the Senate, it is identical with the former Bill or contains only such alterations as are specified by the Speaker to be necessary owing to the time that has elapsed since the date of the former Bill or to represent any amendments which have been made by the Senate in the former Bill.
9. In this section—
a.reference to any of the provisions of this Constitution or the Jamaica Independence Act, 1962, [FN: 10 &amp; 11 Eliz. 2 c. 40] includes references to any law that alters that provision; and
b.“alter” includes amend, modify, re-enact with or without amendment or modification, make different provision in lieu of, suspend, repeal or add to.</t>
  </si>
  <si>
    <t>32, 101.4, 206</t>
  </si>
  <si>
    <t>313-314</t>
  </si>
  <si>
    <t>ARTICLE 313
The initiative to propose constitutional amendments belongs to the National Assembly, the Cabinet Council and the Supreme Court of Justice. Such amendments must be approved by one of the following procedures:
1.Through a Constitutional Act, approved in three readings by an absolute majority of the members of the Legislative Assembly, which must be published in the Official Gazette and sent by the Executive Branch to said Assembly within the first five days of ordinary session following the installation of the National Assembly elected in the last general elections, so that it can be discussed and approved in its first session without modification, in a single reading and by an absolute majority of all members of the Assembly;
2.Through a Constitutional Act, approved in three readings by an absolute majority of the members of the National Assembly in one legislature, and approved anew, during the immediately following legislature, in three readings by an absolute majority of the members of the already mentioned Assembly. On this occasion the text approved during the previous legislature may be amended. The Constitutional Act approved in this manner must be published in the Official Gazette and submitted to the people for direct, popular consultation through a referendum that shall be held on the date designated by the National Assembly, within a period not shorter than three months and not longer than six months from the date of the Constitutional Act's approval by the second Legislature.
ARTICLE 314
Share
A new Constitution may be adopted by a Parallel Constituent Assembly (Asamblea Constituyente Paralela) which may be convened by decision of the Executive Branch, ratified by the Legislative Branch with absolute majority, or by the Legislative Branch with a favorable vote of two thirds of its members, or by popular initiative which must be signed by at least twenty percent (20%) of citizens enrolled in the Electoral Register on the thirty-first of December of the year preceding the initiative. In the latter case, the petitioners shall have six months to fulfill the requirement in conformity with the rules issued to this effect by the Electoral Tribunal.
The Electoral Tribunal is competent to accept the proposed initiative and to schedule the election for the members of the Constituent Assembly within a period not shorter than three months and not longer than six months since the request has been formalized for the election has been formalized. After the election the Parallel Constituent Assembly shall be formally installed and shall begin its deliberations as of right, as soon as the Electoral Tribunal has delivered to its members their respective credentials.
The Parallel Constituent Assembly shall be composed of sixty members who shall represent the Panamanians in all provinces and regions in a proportional manner, in accordance with the voting population; in addition to party nomination, independent candidacies are permitted. For these purposes the Electoral Tribunal shall establish the electoral system applicable to the election of the Constituent Assembly's members in its order convening the election.
The Parallel Constituent Assembly may reform the current Constitution totally or partially but in no case may adopt decisions with retroactive effects or alter the terms of office of elected or appointed officials who are exercising their functions at the moment when the new Constitution enters into force. The Parallel Constituent Assembly shall have not less than six months and not more than ninths months in order to complete its work and to deliver the approved text of the new Constitution to the Electoral Tribunal which shall publish it immediately in its Bulletin.
The new Constitutional Act which has been approved in this manner shall be submitted to a referendum convened by the Electoral Tribunal within a period of not less than three months and not more than six months since its publication in the Bulletin of the Electoral Tribunal.
The Constitutional Act approved in accordance with any one of the procedures indicated in this or in the preceding Article shall enter into force upon its publication in the Official Gazette which has to be accomplished by the Executive Branch within ten working days of its ratification by the National Assembly or within thirty days of its approval through referendum, whichever may be the case; however, a publication after the expiration of the delays shall not be a cause of unconstitutionality.</t>
  </si>
  <si>
    <t>61. ALTERATION OF CONSTITUTION
1. Subject to the provisions of this section, Parliament may alter this Constitution.
2. A Bill for an Act of Parliament to alter any of the following provisions of this Constitution, that is to say—
a.this section;
b.Chapters II, VII and IX;
c.Sections 46 to 58 (inclusive), and 108; and
d.Chapter XIV to the extent that it relates to any of the provisions specified in the preceding paragraphs,
shall not be passed by Parliament unless it is supported at the final voting on two separate readings in Parliament by the votes of not less than three-quarters of all the members of Parliament.
3. A Bill for an Act of Parliament to alter any provision of this Constitution (but which does not alter any of the provision of this Constitution as specified in subsection (2) of this section) shall not be passed by Parliament unless it is supported at the final voting on two separate readings in Parliament by the votes of not less than two-thirds of all the members of Parliament.
4. Without prejudice to the provisions of subsections (2) and (3) of this section, a Bill for an Act of Parliament under this section shall not be passed by Parliament unless—
a.notice of the Bill has been given to the Speaker at least four weeks before the first reading of the Bill in Parliament; and
b.the Bill is clearly expressed to be a Bill for an Act of Parliament to alter the Constitution.
5. In this section—
a.references to this Constitution or to any particular provision thereof include references to any other law in so far as that law alters the Constitution or, as the case may be, that provision; and
b.references to altering this Constitution or any particular provision thereof include references—
i.to repealing it, with or without re-enactment thereof or the making of different provision in lieu thereof;
ii.to modifying it, whether by omitting or amending any of its provisions or inserting additional provisions in it or otherwise;
iii.to suspending its operation for any period, or terminating any such suspension; and
iv.to making any other provision that is repugnant to or otherwise inconsistent with it.</t>
  </si>
  <si>
    <t>85. ALTERATION OF CONSTITUTION
1. Subject to the provisions of this section, Parliament may alter this Constitution.
2. A bill for an Act of Parliament under this section shall not be passed by Parliament unless it is supported at the final voting in the National Assembly by the votes of the majority of all the members of the Assembly and, having been sent to the Senate, has become a bill that, apart from this section, may be presented to the King for his assent under subsection 80(1) or (3) as the case may be, of this Constitution.
3. A bill to alter any of the following provisions of this Constitution, that is to say--
a.this section, sections 1(1) and 2, Chapter II except sections 18(4) and 24(3), sections 44 to 48 inclusive, 50(1) to (3), 52, 86, 91 (1) to (4), 92, 95, 103, 104, 107, 108, 118(1) and (2), 119(1) to (3), 120(1), (2), (4), and (5), 121, 123(1), (3), (4), 125, 128, 129, 132, 133 and sections 154 and 155 in their application to any of the provisions mentioned in this paragraph; and
b.sections 37, 38, 54 to 60 inclusive; sections 66, 66A, 66B, 66C and 66D, 67, 68, 69(1) and (6), 70, 74, 75(1), 78(1), (2), (3) and (4), 80(1), (2), and (3), 82(1), 83 and 84; sections 134 to 142 inclusive, 150 and 151 and sections 154 and 155 in their application to any of the provisions mentioned in this paragraph,
shall not be submitted to the King for his assent unless the bill, not less than two nor more than six months after its passage by Parliament, has, in such manner as may be prescribed by or under an Act of Parliament, been submitted to the vote of the electors qualified to vote in the election of the members of the National Assembly, and the majority of the electors voting have approved the bill:
Provided that if the bill does not alter any of the provisions mentioned in paragraph (a) and is supported at the final voting in each House of Parliament by the votes of no less than two-thirds of all the members of that House it shall not be necessary to submit the bill to the vote of the electors.
4. Nothing in section 80 of this Constitution affects the operation of subsection (3).
5. In this section--
a.references to this Constitution or to any particular provision thereof include references to any other law in so far as that law alters the Constitution or, as the case may be, that provision; and
b.references to altering this Constitution or any particular provision thereof include references to repealing it, with or without re-enactment thereof or the making of different provision in lieu thereof, to modifying it and to suspending its operation for any period.</t>
  </si>
  <si>
    <t>71, 103</t>
  </si>
  <si>
    <t>ARTICLE 71
The bills or proposals of law are, after their adoption by the National Assembly, transmitted to the Senate which decides within a time period of twenty days counting from the date of reception. In the case of urgency declared by the Government, this time period is reduced to seven days.
If the Senate adopts a text identical to that of the National Assembly, the law is transmitted to the President of the Republic for promulgation. In case of disagreement between the National Assembly and the Senate, or if the Senate has not decided within the time period provided by the [first] paragraph, the National Assembly decides definitively. After its adoption, the law is transmitted without delay to the President of the Republic for promulgation. ARTICLE 103
The initiative of the revision of the Constitution belongs concurrently to the President of the Republic and to the Deputies.
The Prime Minister can propose to the President of the Republic a revision of the Constitution.
The bill or the proposal of revision of the Constitution must be adopted by the assemblies following the procedure of Article 71. The revision is definitive after having been approved by referendum.
However, the bill or the proposal are not presented to referendum when the President of the Republic decides to present them to the Parliament convoked in Congress.
In this case, the bill or the proposal is only approved if it meets [réunit] the majority of three-fifths (3/5) of the suffrage expressed.
Articles 65 and 77 are not applicable to constitutional laws.
The republican form of the State may not be made the object of a revision.</t>
  </si>
  <si>
    <t>ARTICLE 155
Legislative bills or those involving constitutional amendments may be introduced by a number of citizens equal to or greater than five percent of the existing electoral rolls at the respective date or by thirty percent of the councils or deputies of the country. The popular initiative shall be executed by the Congress, in accordance with the provisions in Article 163 with respect to bills that have been the subject of a declaration of urgency.
The proposing citizens shall have the right to designate a spokesman who shall be heard by the Houses at all stages of the proceedings.
ARTICLE 374
The Political Constitution may be reformed by Congress, a Constituent Assembly, or by the people through a referendum.
ARTICLE 375
The Government, 10 members of the Congress, 20 percent of councilors or deputies, or citizens totaling at least five percent of the electoral rolls in force may introduce legislative bills.
The bill shall be discussed in two ordinary and consecutive session periods. After having been approved in the first period by a majority of those present, the bill shall be published by the Government. In the second period, the approval shall require the vote of the majority of the members of each House.
In this second period only initiatives presented in the first period may be discussed.
ARTICLE 376
By means of an Act approved by the members of both Houses, Congress may direct that the voters participating in the popular balloting decide if a Constituent Assembly should be called with the jurisdiction, term, and makeup that the same law shall determine.
It is understood that the people shall convoke the Assembly, if they approve it by at least one-third of the electoral rolls.
The Assembly must be elected by the direct vote of the citizens through a balloting that may not overlap another. Beginning with the election, the ordinary powers of Congress shall remain suspense while the Constitution is being amended during the term stipulated so that the Assembly may fulfill its functions. The Assembly shall adopt its own rules of procedure.
ARTICLE 377
Share
The constitutional reforms must be submitted to a referendum approved by Congress when referring to the rights recognized in Chapter I of Title II and to their guaranties, to the procedures of popular participation, or to Congress, if so requested, within the six months following the promulgation of the legislative act, by five percent of the citizens who make up the electoral rolls. The reform shall be understood to be defeated by a negative vote of the majority of the voters as long as at least one-fourth of those on the electoral rolls participate in the balloting.
ARTICLE 378
Upon the initiative of the government or the citizens under the terms of Article 155, Congress, through an Act which requires the approval of the majority of the members of both Houses, may submit to a referendum a bill of constitutional reform which the Congress shall incorporate into the Act. The referendum shall be presented in such a manner as to allow the voters to freely choose from the agenda or the various items that which they approve or disapprove.
The approval of constitutional reforms by means of a referendum mandates the affirmative vote of over half of the voters and that the number of these should exceed one-fourth of the total number of citizens included in the electoral rolls. 
ARTICLE 379
The legislative acts, the convocation to the referendum, the popular consultation, or the act of convocation of the Constituent Assembly may be declared unconstitutional only when the requirements established in this title are violated.
Public measures against these acts may be taken only within one year following their promulgation with due regard to the provisions in Article 241, numeral 2.</t>
  </si>
  <si>
    <t>246, 248</t>
  </si>
  <si>
    <t xml:space="preserve">ARTICLE 246
The principles, rights, and obligations established by this Constitution may not be altered by laws that regulate their exercise.
The Constitution shall prevail over all laws and regulations. The public interest shall come before private interest.
ARTICLE 248
Reformation of this Constitution may be decided by the Legislative Assembly, with the vote of one-half plus one of the elected Deputies.
For this amendment to be decreed, it must be ratified by the following Legislative Assembly by a vote of two-thirds of the elected Deputies. Thus ratified, the corresponding decree shall be issued and shall be published in the Official Gazette.
Amendments may only be proposed by elected Deputies, by a number no less than ten.
Under no circumstances, may the articles of this Constitution, which refer to the form and system of government, to the territory of the Republic, and to the principle that a President cannot succeed himself (alternabilidad), be amended.
</t>
  </si>
  <si>
    <t>173, 277-281</t>
  </si>
  <si>
    <t>289-290</t>
  </si>
  <si>
    <t xml:space="preserve">ARTICLE 289. OF THE REFORM [REFORMA]
The reform of this Constitution may only proceed after ten years of its promulgation.
Twenty-five percent of the legislators of any of the Chambers of Congress, the President of the Republic or thirty thousand electors, through a signed petition[,] may requested the reform.
The declaration of the necessity of the reform will only be approved by an absolute majority of two-thirds of the members of each Chamber of the Congress.
Once the need for the reform is decided, the Superior Tribunal of Electoral Justice will call for elections within the time period of one hundred and eighty days, in general elections that may not coincide with any other.
The number of members of the National Constituent Convention may not exceed the total of the members [integrantes] of the Congress. Their conditions of eligibility, as well as the determination of their incompatibilities, will be established by the law.
The members of the convention [convencionales] will have the same immunities established for the members of the Congress.
The new Constitution sanctioned by the National Constituent Convention, will be promulgated of plain right.
ARTICLE 290. OF THE AMENDMENT [ENMIENDA]
After three years of this Constitution having been promulgated, amendments at the initiative of one-fourth of the legislators of any of the Chambers of the Congress, of the President of the Republic, or of thirty thousand electors, through a signed petition[,] may be realized.
The full text of the amendment must be approved by [an] absolute majority in the Chamber of origin. [Once] it is approved, the equal treatment will be required at the reviewing Chamber. If in either of the Chambers the majority required for its approval is not met, the amendment will be considered as rejected, [and] it may not be presented again within the time [término] of one year.
[Once] the amendment is approved by both Chambers of the Congress, the text will be remitted to the Superior Tribunal of Electoral Justice to convoke a referendum, within a time period of one-hundred and eighty days. If the result of this [referendum] is affirmative, the amendment will be sanctioned and promulgated, incorporating itself into the constitutional text.
If the amendment is derogatory, another one with the same subject may not be promoted before three years.
The procedure indicated for amendment will not be used, but [rather] the one for reform, for those provisions affecting the mode of election, the composition, the duration of [the] mandates or the attributions of any of the powers of the State, or the provisions of Chapters I, II, III and IV of Title II, of Part I.
ARTICLE 291. OF THE POWERS [POTESTAD] OF THE NATIONAL CONSTITUENT CONVENTION
The National Constituent Convention is independent from the constituted powers. It will limit itself, during the time of the duration of its deliberations, to its labor of reform, excluding any other task. It will not arrogate to itself the attributions of the powers of the State[;] it may not substitute those who are exercising them, or reduce or extend their mandate.
</t>
  </si>
  <si>
    <t>yes</t>
  </si>
  <si>
    <t>ARTICLE XVII. AMENDMENTS OR REVISIONS
SEC 1
Any amendment to, or revision of, this Constitution may be proposed by:
1.The Congress, upon a vote of three-fourths of all its Members; or
2.A constitutional convention.
SEC 2
Amendments to this Constitution may likewise be directly proposed by the people through initiative upon a petition of at least twelve per centum of the total number of registered voters, of which every legislative district must be represented by at least three per centum of the registered voters therein. No amendment under this section shall be authorized within five years following the ratification of this Constitution nor oftener than once every five years thereafter.
The Congress shall provide for the implementation of the exercise of this right.
SEC 3
The Congress may, by a vote of two-thirds of all its Members, call a constitutional convention, or by a majority vote of all its Members, submit to the electorate the question of calling such a convention.
SEC 4
Any amendment to, or revision of, this Constitution under Section 1 hereof shall be valid when ratified by a majority of the votes cast in a plebiscite which shall be held not earlier than sixty days nor later than ninety days after the approval of such amendment or revision.
Any amendment under Section 2 hereof shall be valid when ratified by a majority of the votes cast in a plebiscite which shall be held not earlier than sixty days nor later than ninety days after the certification by the Commission on Elections of the sufficiency of the petition.</t>
  </si>
  <si>
    <t>2009 const!</t>
  </si>
  <si>
    <t>ARTICLE 118
The initiative of revision of the Constitution belongs concurrently to the President of the Republic and the Deputies.
The project or proposition of revision must be adopted by the National Assembly by a two thirds majority of its members. The revision is only definitive after having been approved by referendum.
No procedure of revision shall be attempted or followed when it touches the integrity of the State.
The republican form and the secularity of the State as well as multipartyism shall not be the object of revision.</t>
  </si>
  <si>
    <t>154-157</t>
  </si>
  <si>
    <t>ARTICLE 154. INITIATIVE AND TIME OF REVISION
1. The initiative for constitutional revision is incumbent upon the Members of Parliament and the Parliamentary Groups.
2. The National Parliament may revise the Constitution after six years have elapsed since the last date of publication of the last law revising the Constitution was published.
3. The period of six years for the first constitutional review is counted from the fay the present Constitution enters into force.
4. The National Parliament, regardless of any time frame, can take on powers to revise the Constitution by a majority of four-fifths of the Members of Parliament in full exercise of their functions.
5. Proposals for revision must be deposited with the National Parliament one hundred and twenty days prior to the date of the commencement of the debate.
6. After submission of a proposal for constitutional revision under the terms of number 5 above, any other proposal shall be submitted within thirty days.
ARTICLE 155. APPROVAL AND PROMULGATION
1. Amendments to the Constitution shall be approved by a majority of two-thirds of the Members of Parliament in full exercise of their functions.
2. The new text of the Constitution shall be published together with the revision law.
3. The President of the Republic shall not refuse to promulgate a revision law.
ARTICLE 156. LIMITS ON MATTERS OF REVISION
1. Laws revising the Constitution shall respect:
a.national independence and unity of the State;
b.the rights, freedoms and guarantees of citizens;
c.the republican form of government;
d.the separation of powers;
e.the independence of the courts;
f.the multi-party system and the right of democratic opposition;
g.the free, universal, direct, secret and regular suffrage of the office holders of the organs of sovereignty, as well as the system of proportional representation;
h.the principle of administrative deconcentration and decentralization;
i.the National Flag;
j.the date of proclamation of national independence.
2. Matters contained in paragraphs c) and i) may be reviewed through a national referendum, in accordance with the law.
ARTICLE 157. LIMITS ON TIME OF REVISION
No action may be taken to revise the Constitution during a state of siege or a state of emergency.</t>
  </si>
  <si>
    <t>154-156</t>
  </si>
  <si>
    <t xml:space="preserve">ARTICLE 5
The government must sustain itself on the principles of participatory democracy, the self-determination of peoples and democratic participation, from which the national integration derives, which implies participation of all political sectors in the Public Administration, political stability and social peace.
To strengthen democratic representation, the referendum, the plebiscite and the citizen initiative of law are instituted as mechanisms of citizen participation.
The referendum will be convoked concerning on Ordinary Law or an adopted constitutional norm or its reform for its ratification or [its] disapproval by the citizenry.
The plebiscite will be convoked by soliciting of the citizens a decision concerning constitutional, legislative or administrative issues, concerning which the Constituted Powers have not made a previous decision.
The referendum and the plebiscite may be realized at [the] national, regional, sub-regional, departmental and municipal level.
[The following] have initiative to solicit the referendum or the plebiscite:
1. 1.At least two percent (2%) of the citizens inscribed in the National Electoral Census, in accordance with the datum that must be periodically provided by the Supreme Electoral Tribunal to the National Congress;
2. 2.At least ten (10) Deputies of the National Congress; and
3. 3.The President of the Republic by resolution of the Council of the Secretaries of State.
The National Congress must take cognizance of and discuss such petitions, and if it approves them, it must adopt a Decree which determines the limits of the consultation, [and] order the Supreme Electoral Tribunal, to order, to organize and to direct the consultation of the citizens.
The percentages for legislative approval of the citizens consultations are determined according to the subject to be consulted in accordance with this Constitution, by simple majority of the totality of its members when it concerns ordinary laws and matters, [and] the two-thirds part of the totality of its members when it refers to constitutional matters.
A Special Law adopted by the two-thirds part of the totality of the Deputies of the National Congress must determine the procedures, requirements and other aspects necessary for the exercise of the mechanisms of citizen participation.
It corresponds uniquely to the Supreme Electoral Tribunal to convoke, to organize and to direct the citizen consultations.
The citizen consultations must have precedence on the same date as the general elections.
The exercise of suffrage in the citizen consultations is obligatory.
The result of the citizen consultations is of obligatory compliance if at the least fifty-one percent (51%) of the total of the participation in the last general elections agrees [to it]; and, if the affirmative vote obtains the majority of valid votes.
The Special Law must determine those having initiative to solicit the convocation to a citizen consultation when it is not of national level, as well as the percentage of participation necessary for it to be valid.
The Supreme Electoral Tribunal[,] once establishing the official result in the time that the Special Law specifies, must report [informar] to the National Congress in a time of ten (10) days concerning the result of the consultation. The National Congress must adopt a Decree ordering the implementation of the norms that result from the citizen consultation.
If the initiative submitted to consultation is adopted, the sanction will not be necessary nor [will the] veto of the Executive Power proceed[;] in consequence, the National Congress will order the publication of the norms adopted. The norms may only be abrogated or reformed through the same process as their adoption.
[A] consultation concerning the same subject may not be realized in the same nor in the following term [período] of Government.
ARTICLE 218 
The Sanction will not be necessary, nor can the Executive Power interpose the veto, in the following cases and resolutions:
1. 1.Elections that the National Congress orders or announces or resignations that it accepts or disapproves;
2. 2.Declarations that there are or are not grounds for impeachment;
3. 3.Decrees that relate to the conduct of the executive branch;
4. 4.Regulations that it issues for its internal procedure;
5. 5.Decrees it approves to temporarily transfer its seat to another place in the territory of Honduras or to suspend its sessions or to convene special sessions;
6. 6.The budget law;
7. 7.Treaties or contracts rejected by the National Congress, and
8. 8.Amendments to the constitution of the republic.
9. 9.In the interpretations that are decreed to the Constitution of the Republic by the National Congress;
In these cases, the executive shall promulgate the law with this phrase: "Now therefore let it be published."
ARTICLE 373
The amendment of this Constitution may be decreed by the National Congress, in regular session, with two thirds of the votes of all its members. The decree shall specify for that purpose the article or articles that are to be amended, which must be ratified by the subsequent regular annual session, by the same number of votes, in order to take effect.
ARTICLE 374
The foregoing article, this article, the Articles of the Constitution relating to the form of government, national territory, the presidential term, the prohibition from reelection to the presidency of the republic, the citizen who has served as president under any title, and to persons who may not be president of the republic for the subsequent period may not be amended.
</t>
  </si>
  <si>
    <t>last revision</t>
  </si>
  <si>
    <t>ccp</t>
  </si>
  <si>
    <t>match ccp?</t>
  </si>
  <si>
    <r>
      <t xml:space="preserve">1. Any provision of this Constitution may be amended, whether by way of variation, addition, or repeal, in the manner provided by this Article.
2. Every proposal for an amendment of this Constitution shall be initiated in Dáil Éireann as a Bill, and shall upon having been passed or deemed to have been passed by both Houses of the Oireachtas, be submitted by Referendum to the decision of the people in accordance with the law for the time being in force relating to the Referendum.
3. Every such Bill shall be expressed to be </t>
    </r>
    <r>
      <rPr>
        <sz val="12"/>
        <color theme="1"/>
        <rFont val="Libian SC Regular"/>
        <family val="2"/>
      </rPr>
      <t></t>
    </r>
    <r>
      <rPr>
        <sz val="12"/>
        <color theme="1"/>
        <rFont val="맑은 고딕"/>
        <family val="2"/>
        <scheme val="minor"/>
      </rPr>
      <t>An Act to amend the Constitution</t>
    </r>
    <r>
      <rPr>
        <sz val="12"/>
        <color theme="1"/>
        <rFont val="Libian SC Regular"/>
        <family val="2"/>
      </rPr>
      <t></t>
    </r>
    <r>
      <rPr>
        <sz val="12"/>
        <color theme="1"/>
        <rFont val="맑은 고딕"/>
        <family val="2"/>
        <scheme val="minor"/>
      </rPr>
      <t>.
4. A Bill containing a proposal or proposals for the amendment of this Constitution shall not contain any other proposal.
5. A Bill containing a proposal for the amendment of this Constitution shall be signed by the President forthwith upon his being satisfied that the provisions of this Article have been complied with in respect thereof and that such proposal has been duly approved by the people in accordance with the provisions of section 1 of Article 47 of this Constitution and shall be duly promulgated by the President as a law.
THE REFERENDUM
ARTICLE 47
1. Every proposal for an amendment of this Constitution which is submitted by Referendum to the decision of the people shall, for the purpose of Article 46 of this Constitution, be held to have been approved by the people, if, upon having been so submitted, a majority of the votes cast at such Referendum shall have been cast in favour of its enactment into law.
2. 1°. Every proposal, other than a proposal to amend the Constitution, which is submitted by Referendum to the decision of the people shall be held to have been vetoed by the people if a majority of the votes cast at such Referendum shall have been cast against its enactment into law and if the votes so cast against its enactment into law shall have amounted to not less than thirty-three and one-third per cent. of the voters on the register.
2°. Every proposal, other than a proposal to amend the Constitution, which is submitted by Referendum to the decision of the people shall for the purposes of Article 27 hereof be held to have been approved by the people unless vetoed by them in accordance with the provisions of the foregoing sub-section of this section.
3. Every citizen who has the right to vote at an election for members of Dáil Éireann shall have the right to vote at a Referendum.
4. Subject as aforesaid, the Referendum shall be regulated by law. (just fyi on updating after amendments--method for organizing/incorporating amendments): 5. 1°. It shall be lawful for the Taoiseach, from time to time as occasion appears to him to require, to cause to be prepared under his supervision a text (in both the official languages) of this Constitution as then in force embodying all amendments theretofore made therein.</t>
    </r>
  </si>
  <si>
    <t>ARTICLE 173. CONSULTATION PROCEDURE
Share
The political decisions of special significance [trascendencia] must be submitted to a [popular] consultation procedure involving all citizens.
The consultation will be called by the Supreme Electoral Tribunal at the initiative of the President of the Republic or of the Congress of the Republic, which will determine precisely the question or [the] questions to be submitted to the citizens.
The Constitutional Electoral Law [Ley Constitucional Electoral] shall regulate what is relative to this institution.
ARTICLE 277. INITIATIVE
The following have the initiative to propose reforms to the Constitution:
a.The President of the Republic in the Council of Ministers;
b.Ten or more deputies to the Congress of the Republic;
c.The Court of Constitutionality; and
d.The people [el pueblo] through a petition directed to the Congress of the Republic, by not fewer than five thousand citizens duly registered [empadronados] in the Registry of Citizens.
In any of the above-mentioned cases, the Congress of the Republic must address the raised issue without any delay.
ARTICLE 278. NATIONAL CONSTITUENT ASSEMBLY
In order to reform this or any Article contained in Chapter I of Title II of this Constitution, it is indispensable that the Congress of the Republic, with the affirmative vote of the two-thirds part of the members that integrate it, to convoke a National Constituent Assembly. In the decree of convocation[,] the Article or Articles to be reformed shall be specified[,] and it shall be communicated to the Supreme Electoral Tribunal so that it may determine the date when the elections will be held within the maximum deadline of one hundred twenty days, proceeding in the other respects in accordance with the Constitutional Electoral Law.
ARTICLE 279. [THE] DEPUTIES TO THE NATIONAL CONSTITUENT ASSEMBLY
The National Constituent Assembly and the Congress of the Republic may function simultaneously. The qualities required to be [a] deputy to the National Constituent Assembly are the same as those that are required to be a deputy of the Congress, and the constituent deputies shall enjoy equal immunities and privileges.
One may not be[,] simultaneously[,] a deputy to the National Constituent Assembly and to the Congress of the Republic.
The elections of [the] deputies to the National Constituent Assembly, the number of deputies to be elected, and the other related questions, [together] with the electoral process will be governed in equal form as for the elections to the Congress of the Republic.
ARTICLE 280. REFORMS BY THE CONGRESS AND [THE] POPULAR CONSULTATION
For any other constitutional reform, it will be necessary for the Congress of the Republic to approve it with an affirmative vote of the two-thirds part of the total number of deputies. The reforms will not enter into effect unless they are ratified through the popular consultation referred to in Article 173 of this Constitution.
If the result of the popular consultation were to ratify the reform, it will enter into effect sixty days after the Supreme Electoral Court announces the result of the consultation.
ARTICLE 281. ARTICLES NOT SUBJECT TO REFORM
In no case may Articles 140, 141, 165 paragraph g) , 186, and 187 be reformed, nor may any question concerning the republican form of government, [or] to the principle of the non-reelection for the exercise of the Presidency of the Republic[,] be raised in any form, neither may the effectiveness or application of the Articles that provide for alternating the tenure of the Presidency of the Republic be suspended or their content [be] changed or modified in any other way.</t>
  </si>
  <si>
    <t>ARTICLE 76
The Saeima may amend the Constitution in sittings at which at least two-thirds of the members of the Saeima participate. The amendments shall be passed in three readings by a majority of not less than two-thirds of the members present.
ARTICLE 77
If the Saeima has amended the first, second, third, fourth, sixth or seventy-seventh Article of the Constitution, such amendments, in order to come into force as law, shall be submitted to a national referendum.
ARTICLE 78
Electors, in number comprising not less than one tenth of the electorate, have the right to submit a fully elaborated draft of an amendment to the Constitution or of a law to the President, who shall present it to the Saeima. If the Saeima does not adopt it without change as to its content, it shall then be submitted to national referendum.
ARTICLE 79
An amendment to the Constitution submitted for national referendum shall be deemed adopted if at least half of the electorate has voted in favour. A draft law, decision regarding membership of Latvia in the European Union or substantial changes in the terms regarding such membership submitted for national referendum shall be deemed adopted if the number of voters is at least half of the number of electors as participated in the previous Saeima election and if the majority has voted in favour of the draft law, membership of Latvia in the European Union or substantial changes in the terms regarding such membership.</t>
  </si>
  <si>
    <t>1. An Act of Parliament shall be passed stating that an amendment to the Constitution in the form proposed shall be considered.
2. The Lower House may divide a Bill presented for this purpose into a number of separate Bills, either upon a proposal presented by or on behalf of the King or otherwise.
3. The Lower House shall be dissolved after the Bill referred to in the first paragraph has been published.
4. After the new Lower House has assembled, the two Houses of the States General shall consider, at second reading, the Bill referred to in the first paragraph. The Bill shall be passed only if at least two thirds of the votes cast are in favor.
5. The Lower House may divide a Bill for the amendment of the Constitution into a number of separate Bills, either upon a proposal presented by or on behalf of the King or otherwise, if at least two-thirds of the votes cast are in favor.
ARTICLE 138
1. Before Bills to amend the Constitution which have been given a second reading have been ratified by the King, provisions may be introduced by Act of Parliament whereby:
a.the proposals adopted and the unamended provisions of the Constitution are adjusted to each other as required;
b.the division into chapters, sections and articles and the headings and numbering thereof are modified.
2. A Bill containing provisions as referred to under paragraph l(a) shall be passed by the two Houses only if at least two-thirds of the votes cast are in favor.
ARTICLE 139
Amendments to the Constitution passed by the States General and ratified by the King shall enter into force immediately after they have been published.
ARTICLE 140
Existing Acts of Parliament and other regulations and decrees which are in conflict with an amendment to the Constitution shall remain in force until provisions are made in accordance with the Constitution.
ARTICLE 141
The text of the revised Constitution shall be published by Royal Decree in which the chapters, sections and articles may be renumbered and references to them altered accordingly.
ARTICLE 142
The Constitution may be brought into line with the Charter for the Kingdom of the Netherlands by Act of Parliament. Articles 139, 140 and 141 shall apply mutatis mutandis.</t>
  </si>
  <si>
    <t>3. In all cases where the President of the Russian Federation is unable to fulfil his (her) duties, they shall be temporarily delegated to the Chairman of the Government of the Russian Federation. The Acting President of the Russian Federation shall not have the right to dissolve the State Duma, call a referendum or to submit proposals for amendments to and the revision of the provisions of the Constitution of the Russian Federation. ARTICLE 108
1. Federal constitutional laws shall be adopted on issues envisaged by the Constitution of the Russian Federation.
2. A federal constitutional law shall be considered to have been adopted if it is approved by a majority of not less than three quarters of the total number of members of the Council of Federation and not less than two-thirds of the total number of deputies of the State Duma. An adopted federal constitutional law shall be signed by the President of the Russian Federation and promulgated within fourteen days.ARTICLE 134
Proposals on amendments to and revision of the provisions of the Constitution of the Russian Federation may be submitted by the President of the Russian Federation, the Council of Federation, the State Duma, the Government of the Russian Federation, legislative (representative) bodies of constituent entities of the Russian Federation, and by groups consisting of not less than one fifth of the members of the Council of Federation or of the deputies of the State Duma.
ARTICLE 135
1. The provisions of Chapters 1, 2 and 9 of the Constitution of the Russian Federation may not be revised by the Federal Assembly.
2. If a proposal on revising the provisions of Chapters 1, 2 and 9 of the Constitution of the Russian Federation is supported by three fifths of the total number of members of the Council of Federation and deputies of the State Duma, then in accordance with federal constitutional law, a Constitutional Assembly shall be convened.
3. The Constitutional Assembly shall either confirm the invariability of the Constitution of the Russian Federation or draft a new Constitution of the Russian Federation, which shall be adopted by the Constitutional Assembly by two thirds of the total number of its members or shall be referred to a referendum. In the event that a referendum is held, the Constitution of the Russian Federation shall be considered to have been adopted if over one half of voters who participated in the vote voted in favour of it and provided that over a half of the electorate participated in the referendum.
ARTICLE 136
Amendments to the provisions of Chapters 3-8 of the Constitution of the Russian Federation shall be adopted in accordance with the procedure established for the adoption of federal constitutional law and shall come into force after they have been approved by legislative authorities of not less than two thirds of the constituent entities of the Russian Federation.
ARTICLE 137
1. Amendments to Article 65 of the Constitution of the Russian Federation which determines the composition of the Russian Federation shall be introduced on the basis of a federal constitutional law on the admission to the Russian Federation and the creation within it of new constituent entities of the Russian Federation, or on changes in the constitutional and legal status of a constituent entity of the Russian Federation.
2. In the event of a change in the name of a republic, kray, oblast, city of federal significance, autonomous oblast or autonomous okrug the new name of the constituent entity of the Russian Federation shall be included in Article 65 of the Constitution of the Russian Federation. ARTICLE 108
Share
1. Federal constitutional laws shall be adopted on issues envisaged by the Constitution of the Russian Federation.
2. A federal constitutional law shall be considered to have been adopted if it is approved by a majority of not less than three quarters of the total number of members of the Council of Federation and not less than two-thirds of the total number of deputies of the State Duma. An adopted federal constitutional law shall be signed by the President of the Russian Federation and promulgated within fourteen days.</t>
  </si>
  <si>
    <t>ARTICLE 411
I. The total reform of the Constitution, or that which affects its fundamental premises, affects rights, duties and guarantees, or the supremacy and reform of the Constitution, shall take place through an original plenipotentiary Constituent Assembly, put into motion by popular will through referendum. The convocation of the referendum shall be carried out by citizen initiative, with the signatures of at least twenty percent of the electorate; by absolute majority vote of the members of the Pluri-National Legislative Assembly; or by the President of the State. The Constituent Assembly (Asamblea Constituyente) shall draft its own regulations for all effects. The constitutional text must be approved by two-thirds of the members present. The validity of the reform shall require approval by constitutional referendum.
II. The partial reform of the Constitution may be initiated by popular initiative with the signatures of at least twenty percent of the electorate, or by the Pluri-National Legislative Assembly through a law of constitutional reform approved by two-thirds of the total members present of the Pluri-National Legislative Assembly. Any partial reform shall require approval by constitutional referendum.</t>
  </si>
  <si>
    <t>2010 new</t>
  </si>
  <si>
    <t>2008 (new)</t>
  </si>
  <si>
    <t xml:space="preserve">ARTICLE 161
No revision of the Constitution may be initiated, except in the case of necessity judged imperious.
ARTICLE 162
The initiative of the revision, in the case of necessity judged imperious, belongs either to the President of the Republic who decides in the Council of Ministers, or to the Parliamentary Assemblies deciding by a separate vote by a majority of two-thirds of the members.
The bill or proposal of revision must be approved by three-fourths of the members of the National Assembly and of the Senate.
The bill or proposal of revision so approved is submitted to referendum.
ARTICLE 163
The republican form of the State, the principle of the integrity of the national territory, the principle of the separation of the powers, the principle of autonomy of the Decentralized Territorial Collectivities, the duration and the number of the mandate of the President of the Republic, may not be made the object of revision.
The exceptional powers held by the President of the Republic in the exceptional circumstances or circumstances of political trouble do not confer on him the right of recourse to a constitutional revision.
</t>
  </si>
  <si>
    <t>161-163</t>
  </si>
  <si>
    <t>2007 new</t>
  </si>
  <si>
    <t xml:space="preserve">ARTICLE 155  
The proposal to change the Constitution may be submitted by the President of Montenegro, the Government or minimum 25 Members of the Parliament.
With the Proposal to change the Constitution it may be proposed to change or amend individual provisions of the Constitution or to adopt the new Constitution.
The Proposal to change individual provisions of the Constitution shall contain the indication of the provisions for which change is demanded and the justification.
The Proposal to change the Constitution shall be adopted in the Parliament if two thirds of the total number of Members of the Parliament vote in favor of it.
If the proposal to change the Constitution has not been adopted, the same proposal shall not be repeated prior to the expiry of one year from the day when the proposal was rejected.
ARTICLE 156
Change of the individual provisions of the Constitution shall be made through amendments.
Draft act on the change of the Constitution shall be prepared by the responsible working body of the Parliament.
Draft act on the change of the Constitution shall be adopted in the Parliament if two thirds of all the Members of the Parliaments vote in favor of it.
The Parliament shall submit the adopted Draft act on the change of the Constitution for public hearing, which shall not last less than one month.
After the end of the public hearing, the responsible working body of the Parliament shall define the Proposal of the act on the change of the Constitution.
The act on the change of the Constitution shall be adopted in the Parliament if two thirds of all the Members of the Parliament vote in favor of it.
Change of the Constitution shall not take place during the state of war and the state of emergency.
 ARTICLE 157
Change of Articles 1, 2, 3, 4, 12, 13, 15, 45 and 157 shall be final if minimum three fifths of all the voters support the change in the national referendum.
</t>
  </si>
  <si>
    <t>155-157</t>
  </si>
  <si>
    <t>2006 new</t>
  </si>
  <si>
    <t xml:space="preserve">ARTICLE 203
A proposal to amend the Constitution may be submitted by at least one third of the total number of deputies, the President of the Republic, the Government and at least 150,000 voters.
The National Assembly shall decide on amending the Constitution.
A proposal to amend the Constitution shall be adopted by a two-third majority of the total number of deputies.
If the required majority of votes has not been achieved, the amending of the Constitution according to the issues contained in the submitted proposal which has not been adopted shall not be considered in the following twelve months.
In case the National Assembly adopts the proposal for amending the Constitution, an act on amending the Constitution shall be drafted, that is, considered.
The National Assembly shall adopt an act on amending the Constitution by a two-third majority of the total number of deputies and may decide to have it endorsed in the republic referendum by the citizens.
The National Assembly shall be obliged to put forward the act on amending the Constitution in the republic referendum to have it endorsed, in cases when the amendment of the Constitution pertains to the preamble of the Constitution, principles of the Constitution, human and minority rights and freedoms, the system of authority, proclamation the state of war and emergency, derogation from human and minority rights in the state of emergency or war or the proceedings of amending the Constitution.
When the act on amending the Constitution is put forward for endorsement, the citizens shall vote in the referendum within no later than 60 days from the day of adopting the act on amending the Constitution. The amendment to the Constitution shall be adopted if the majority of voters who participated in the referendum voted in favor of the amendment.
The act on amending the Constitution endorsed in the republic referendum shall come into force once promulgated by the National Assembly.
If the National Assembly does not decide to put forward the act on amending the Constitution for endorsement, the amendment of the Constitution shall be adopted by voting in the National Assembly, and the act on amending the Constitution shall come into force once promulgated by the National Assembly.
ARTICLE 204
The Constitution shall not be amended in the time of the state of war or emergency.
ARTICLE 205
A constitutional law shall be enacted for the enforcement of the amendments to the Constitution.
A constitutional law shall be adopted by a two-third majority of the total number of deputies.
</t>
  </si>
  <si>
    <t>203-205</t>
  </si>
  <si>
    <t>Correct. Amendments proposed by 2/3 of both chambers, and accepted by Convention.</t>
  </si>
  <si>
    <t>Constitutional laws: Non federal provisions require 2/3 of NC. Federal require 2/3 of both chambers. Constitutional revisions require 2/3 of both chambers AND referendum (possibly).</t>
  </si>
  <si>
    <t>2/3 of votes of Greek representatives, and 2/3 of Turkish representatives.</t>
  </si>
  <si>
    <t>Bill passes two successive parliaments, and then referendum.</t>
  </si>
  <si>
    <t>time lapse and second Altigi. For church, referendum needed too.</t>
  </si>
  <si>
    <t>summary correct</t>
  </si>
  <si>
    <t>Both houses and referendum, or 3/5 of joint session upon proposal of president</t>
  </si>
  <si>
    <t>George Verdict</t>
  </si>
  <si>
    <t>GEORGE FORMULA</t>
  </si>
  <si>
    <t>Numerical Value (e=0.01)</t>
  </si>
  <si>
    <t>*changed per george 3/23</t>
  </si>
  <si>
    <t>ART 60
Constitutional amendments may be proposed by:
I.at least one-third of the members of the Chamber of Deputies or the Federal Senate;
II.the President of the Republic;
III.more than one-half of the Legislative Assemblies of units of the Federation, each manifesting its decision by a simple majority of its members.
§1°. The Constitution cannot be amended during federal intervention, state of defense or stage of siege.
§2°. A proposed amendment shall be debated and voted on in each Chamber of the National Congress, in two rounds, and shall be considered approved if it obtains three-fifths of the votes of the respective members in both rounds.
§3°. A Constitutional amendment shall be promulgated by the Executive Committees of the Chamber of Deputies and Federal Senate, taking the next sequential number.
§4°. No proposed constitutional amendment shall be considered that is aimed at abolishing the following:
I.the federalist form of the National Government;
II.direct, secret, universal and periodic suffrage;
III.separation of powers;
IV.individual rights and guarantees.
§5°. The subject of a defeated or prejudiced proposed Constitutional amendment may not be made the subject of another proposed amendment in the same legislative session.</t>
  </si>
  <si>
    <t>ARTICLE 153
The National Assembly shall be free to amend all provisions of the Constitution except those within the prerogatives of the Grand National Assembly.
ARTICLE 154
Share
1. The initiative to introduce a constitutional amendment bill shall belong to one quarter of the Members of the National Assembly and to the President.
2. An amendment bill shall be debated by the National Assembly not earlier than one month and not later than three months from the date on which it is introduced.
ARTICLE 155
Share
1. A constitutional amendment shall require a majority of three quarters of the votes of all Members of the National Assembly in three ballots on three different days.
2. A bill which has received less than three quarters but more than two-thirds of the votes of all Members shall be eligible for reintroduction after not fewer than two months and not more than five months. To be passed at this new reading, the bill shall require a majority of two-thirds of the votes of all Members.
ARTICLE 156
Share
An amendment to the Constitution shall be signed and promulgated in State Gazette by the Chairperson of the Grand National Assembly within seven days of being passed.
ARTICLE 157
Share
A Grand National Assembly shall consist of 400 Members elected according to the election law in force.
ARTICLE 158
Share
A Grand National Assembly shall:
1.Adopt a new Constitution;
2.Resolve on any changes in the territory of the Republic of Bulgaria and ratify any international treaty envisaging such a change.
3.Resolve on any changes in the form of State structure or form of government;
4.Resolve on any amendment to Article 5 paras 2 and 4 and Article 57 paras 1 and 3 of this Constitution;
5.Resolve on any amendment to Chapter nine of the Constitution.
ARTICLE 159
Share
1. Only the President or at least half of the Members of the Grand National Assembly have the right to introduce an amendment bill pursuant to the preceding Article.
2. The draft of a new constitution or a proposed amendment to the existing Constitution, and any bill to introduce a change in the territory of the country pursuant to Article 158 shall be debated by the National Assembly not earlier than two months and not later than five months from the date on which it is introduced.
ARTICLE 160
Share
1. A resolution by the National Assembly announcing elections for a Grand National Assembly shall require a majority of two-thirds of the votes of all Members.
2. The President shall schedule the elections for a Grand National Assembly within three months of the National Assembly's resolution being passed.
3. The mandate of the National Assembly shall expire with the holding of the elections for a Grand National Assembly.
ARTICLE 161
Share
To pass a bill, the Grand National Assembly shall require a majority of two-thirds of the votes of all Members, in three ballots on three different days.
ARTICLE 162
Share
1. A Grand National Assembly shall resolve only on the constitutional amendment bills for which it has been elected.
2. In an emergency, a Grand National Assembly shall further perform the functions of a National Assembly.
3. The prerogatives of a Grand National Assembly shall expire after it resolves on all matters for which it has been elected. The President shall then schedule elections by a procedure established by law.
ARTICLE 163
Share
An Act of the Grand National Assembly shall be signed and promulgated in State Gazette by the Assembly's Chairperson within seven days of it being passed.</t>
  </si>
  <si>
    <t xml:space="preserve">ARTICLE 9 
1. This Constitution may be supplemented or amended only by constitutional acts.
2. Any changes in the essential requirements for a democratic state governed by the rule of law are impermissible.
3. Legal norms may not be interpreted so as to authorize anyone to do away with or jeopardize the democratic foundations of the state.
ARTICLE 39 
1. One-third of the members of each chamber constitutes a quorum.
2. Unless this Constitution provides otherwise, the concurrence of a simple majority of the Deputies or Senators present is required for the adoption of a resolution in either chamber.
3. The concurrence of an absolute majority of all Deputies and an absolute majority of all Senators is required for the adoption of a resolution declaring a state of war or a resolution granting assent to sending the armed forces of the Czech Republic outside the territory of the Czech Republic or the stationing of the armed forces of other states within the territory of the Czech Republic, as well as with the adoption of a resolution concerning the Czech Republic’s participation in the defensive systems of an international organization of which the Czech Republic is a member.
4. The concurrence of three-fifths of all Deputies and three-fifths of all Senators present is required for the adoption of a constitutional act or for giving assent to the ratification of treaties referred to in Article 10a para. 1.
ARTICLE 41
1. Bills shall be introduced in the Assembly of Deputies.
2. Bills may be introduced by Deputies, groups of Deputies, the Senate, the government, or representative bodies of higher self-governing regions.
ARTICLE 62 
The President of the Republic:
1. a.appoints and recalls the Prime Minister and other members of the government and accepts their resignations, recalls the government and accepts its resignation;
2. b.convenes sessions of the Assembly of Deputies;
3. c.may dissolve the Assembly of Deputies;
4. d.shall entrust the government whose resignation he has accepted, or which he has recalled, with the temporary performance of its duties until new government is appointed;
5. e.shall appoint Justices of the Constitutional Court, its Chairperson and Vice-Chairpersons;
6. f.shall appoint from among judges the Chairperson and Vice-Chairpersons of the Supreme Court;
7. g.may grant pardons or commute sentences imposed by courts and order that a criminal record be expunged;
8. h.has the right to return to Parliament acts it has adopted, with the exception of constitutional acts;
9. i.shall sign statutes;
10. j.shall appoint the President and Vice-President of the Supreme Auditing Office;
11. k.shall appoint members of the Banking Council of the Czech National Bank.
ARTICLE 8
1. For the duration of a period of a condition of threat to the State or of a state of war, the government may request that the Parliament deal with government bills in shortened debate.
2. The Assembly of Deputies shall adopt a resolution on such bills within 72 hours of their submission and the Senate within 24 hours of their transmittal by the Assembly of Deputies. If the Senate has not given its view within that period, then the bill has been deemed to be adopted.
3. For the duration of a period of a condition of threat to the State or of a state of war, the President of the Republic does not have the right to return statutes adopted in shortened debate.
4. The government may not submit for shortened debate a bill on a constitutional act.
ARTICLE 9 
1. This Constitution may be supplemented or amended only by constitutional acts.
2. Any changes in the essential requirements for a democratic state governed by the rule of law are impermissible.
3. Legal norms may not be interpreted so as to authorize anyone to do away with or jeopardize the democratic foundations of the state.
ARTICLE 39 
1. One-third of the members of each chamber constitutes a quorum.
2. Unless this Constitution provides otherwise, the concurrence of a simple majority of the Deputies or Senators present is required for the adoption of a resolution in either chamber.
3. The concurrence of an absolute majority of all Deputies and an absolute majority of all Senators is required for the adoption of a resolution declaring a state of war or a resolution granting assent to sending the armed forces of the Czech Republic outside the territory of the Czech Republic or the stationing of the armed forces of other states within the territory of the Czech Republic, as well as with the adoption of a resolution concerning the Czech Republic’s participation in the defensive systems of an international organization of which the Czech Republic is a member.
4. The concurrence of three-fifths of all Deputies and three-fifths of all Senators present is required for the adoption of a constitutional act or for giving assent to the ratification of treaties referred to in Article 10a para. 1.
ARTICLE 41
1. Bills shall be introduced in the Assembly of Deputies.
2. Bills may be introduced by Deputies, groups of Deputies, the Senate, the government, or representative bodies of higher self-governing regions.
ARTICLE 62 
The President of the Republic:
1. a.appoints and recalls the Prime Minister and other members of the government and accepts their resignations, recalls the government and accepts its resignation;
2. b.convenes sessions of the Assembly of Deputies;
3. c.may dissolve the Assembly of Deputies;
4. d.shall entrust the government whose resignation he has accepted, or which he has recalled, with the temporary performance of its duties until new government is appointed;
5. e.shall appoint Justices of the Constitutional Court, its Chairperson and Vice-Chairpersons;
6. f.shall appoint from among judges the Chairperson and Vice-Chairpersons of the Supreme Court;
7. g.may grant pardons or commute sentences imposed by courts and order that a criminal record be expunged;
8. h.has the right to return to Parliament acts it has adopted, with the exception of constitutional acts;
9. i.shall sign statutes;
10. j.shall appoint the President and Vice-President of the Supreme Auditing Office;
11. k.shall appoint members of the Banking Council of the Czech National Bank.
ARTICLE 8
1. For the duration of a period of a condition of threat to the State or of a state of war, the government may request that the Parliament deal with government bills in shortened debate.
2. The Assembly of Deputies shall adopt a resolution on such bills within 72 hours of their submission and the Senate within 24 hours of their transmittal by the Assembly of Deputies. If the Senate has not given its view within that period, then the bill has been deemed to be adopted.
3. For the duration of a period of a condition of threat to the State or of a state of war, the President of the Republic does not have the right to return statutes adopted in shortened debate.
4. The government may not submit for shortened debate a bill on a constitutional act.
</t>
  </si>
  <si>
    <t>s, 1.2, 8.3</t>
  </si>
  <si>
    <t xml:space="preserve"> if country=="</t>
  </si>
  <si>
    <t>"</t>
  </si>
  <si>
    <t>Trinidad And Tobago</t>
  </si>
  <si>
    <t>Numerical Value (second chamber=0.5*first ch)</t>
  </si>
  <si>
    <t>ARTICLE 25.16 .Hold national referendums (plebiscites). Verify the validity of a referendum in which the majority of citizens who are qualified for elections have participated, and to consider the question which obtained a majority vote as decided;
ARTICLE 26
1. The President, Members of the State Great Hural (Parliament), and the Government (Cabinet) shall exercise the right to legislative initiative.
2. Citizens and other organizations shall put forward the comments or proposals on draft laws through the legislative initiators.
3. The laws of Mongolia shall be officially promulgated by the State Great Hural (Parliament), and unless otherwise provided by law, it shall become effective and enter into force after ten days since the date of its publication.
ARTICLE 68
1. Any proposed amendments or changes to the Constitution shall be initiated by the competent organs or officials with the right to legislative initiative, and such proposals may be submitted by the Constitutional Tsets (Court) to the State Great Hural (Parliament).
2. A national referendum on the issue of proposed amendments or changes to the Constitution may be conducted with a supporting vote of at least than two thirds by the members of the State Great Hural (Parliament). A referendum shall be conducted in accordance with the grounds in Clause 16 of Section 1 of Article Twenty Five of the Constitution.
ARTICLE 69
Share
1. The Constitution and its amendments or changes shall be adopted by a supporting vote of at least three quarters by all Members of the State Great Hural (Parliament).
2. If a proposed amendment or change to the Constitution that has been under discussion twice and did not obtain such a supporting vote of at least three quarters by all its Members, then this draft shall not be subject to consideration for discussion until a new composition of the State Great Hural (Parliament), as elected by a regular general elections, assumes its work.
3. The State Great Hural (Parliament) shall not affect any amendments or changes to the Constitution within the six months prior to the regular general elections.
4. The amendments or changes made to the Constitution shall have the same force as the Constitution.
ARTICLE 70
Share
1. The laws, decrees and other decisions by the organs of state, and activities of all organizations and citizens, must be in full conformity with the Constitution.
2. This Constitution of Mongolia shall become effective and enter into force at 12 hours on the 12th day of February of year 1992, or at the hour of Horse on the prime zeal and auspicious good ninth day of Yellow Horse of the first spring month of Black Tiger of the year of Water Monkey of the Seventeenth Sixty-year Cycle.</t>
  </si>
  <si>
    <t>Dominican Republic: The necessity of reform is declared by a law (simple majority in both houses); then it requires approval by a two-thirds majority in a common session of both houses (with the participation of more than half of the members of each house). (nolte conf paper: "Constitutional Change in Latin America: Power Politics or Symbolic Politics")</t>
  </si>
  <si>
    <t>New Zealand</t>
  </si>
  <si>
    <t>bicam?</t>
  </si>
  <si>
    <t>no</t>
  </si>
  <si>
    <t>no (role of national council?)</t>
  </si>
  <si>
    <t>no: bicameral until 2001</t>
  </si>
  <si>
    <t>Suriname</t>
  </si>
  <si>
    <t>no: on and off</t>
  </si>
  <si>
    <t>hos elected? (CCP 2=yes)</t>
  </si>
  <si>
    <t>Need 1/5 of members to initiate amendment. To approve amendment, need 2/3 of"all members" (all members, does not say members present). Can put vote (instead--"proposed constitutional amendments") to referendum by 2/3 vote. Can also move to send approved amendment to referendum by vote of 1/5. President cannot ask for reconsideration of approved amendments. Cannot amend rejected issue unless year has passed since failed amendment attempt or 3 years have passed since failed referendum</t>
  </si>
  <si>
    <t>No--unless 1/5 members vote after passing OR 2/3 vote to send to referendum instead.</t>
  </si>
  <si>
    <t>Approving Bodies (#)</t>
  </si>
  <si>
    <t>1/5 of members</t>
  </si>
  <si>
    <t>yes on same failed topic (1 year for failed amend in assembly. 3 years for failed referendum)</t>
  </si>
  <si>
    <t>2/3 of members to decide to amend. Actual amendment by constitutional convention. (no details on convention).</t>
  </si>
  <si>
    <t>Amendement "by referendum": Referendum called by president (with approval by nat assembly) or at request by national assembly. In both cases, a majority of deputies is required to approve referendum. Unclear if national assembly has override possibility of 2/3 for what the president sends back or if modal vote is 2/3 whenever assembly has ability to propose topics. Referendum requires 50% of votes and 25% turnout. Laws through referendum can only be amended by referendum. Art 114: Articles 1, 2 and 114 of the Constitution may not be amended.</t>
  </si>
  <si>
    <t>ALWAYS: 50% + 25% turnout</t>
  </si>
  <si>
    <t>yes (initiates ref and can ask for reconsideration)</t>
  </si>
  <si>
    <t>maj (2/3 override?)</t>
  </si>
  <si>
    <t>referenda initiated by pres with approval or request of national assembly</t>
  </si>
  <si>
    <t>pres initiates ref + assembly approves (50%) + ref (50%, 25% turnout)</t>
  </si>
  <si>
    <t>2*</t>
  </si>
  <si>
    <t>Each house must pass an amendment by absolute majority. Between 2 and 6 months later, it must be submitted to referendum gaining approval by the majority of electors in a majority of states. Additional provisions should houses not agree on content of amendment (by passing amendments to suggested amendment in one house only). Queen gives assent. Certain types of amendments must be approved by majority of voters in every state. **Do not understand stipulation about adult suffrage and counting half the votes cast?</t>
  </si>
  <si>
    <t>3? (people + 2 houses)</t>
  </si>
  <si>
    <t>not elected (queen gives assent)</t>
  </si>
  <si>
    <t>YES: majority of voters in majority of states (unless on certain provisions) [" if in a majority of the States a majority of the electors voting approve the proposed law, and if a majority of all the electors voting also approve the proposed law,"]</t>
  </si>
  <si>
    <t>Simple amendments require only one chamber's approval by 2/3 with majority of members present. If the second chamber's powers are affected, this chamber must also approve by 2/3 with majority of members present. If a "total revision" then there must also be a referendum. A partial revision only goes to referendum if 1/3 of representatives in either chamber request.</t>
  </si>
  <si>
    <t>yes but only 1 house for most measures</t>
  </si>
  <si>
    <t>ARTICLE 44 1. Constitutional laws or constitutional provisions contained in simple laws can be passed by the National Council only in the presence of at least half the members and by a two thirds majority of the votes cast; they shall be explicitly specified as such ("constitutional law", "constitutional provision").
2. Constitutional laws or constitutional provisions contained in simple laws restricting the competence of the Laender in legislation or execution require furthermore the approval of the Federal Council which must be imparted in the presence of at least half the members and by a two thirds majority of the votes cast.
3. Any total revision of the Federal Constitution shall upon conclusion of the procedure pursuant to Art. 42 above but before its authentication by the Federal President be submitted to a referendum by the Federal people whereas any partial revision requires this only if one third of the members of the National Council or the Federal Council so demands.</t>
  </si>
  <si>
    <t>authenticates' laws</t>
  </si>
  <si>
    <t>2/3 of votes with majority present</t>
  </si>
  <si>
    <t>not necessary for most amendments</t>
  </si>
  <si>
    <t>houses (not specified amount)</t>
  </si>
  <si>
    <t>**const convention</t>
  </si>
  <si>
    <t>how to count majority of states + majority of voters?</t>
  </si>
  <si>
    <t>not elected (gives assent)</t>
  </si>
  <si>
    <t>Parliament can amend. Approval by 2/3 of members (total members). Certain provisions cannot be amended. President shall give assent within 7 days but if not, after 7 days will be assumed to have assented.</t>
  </si>
  <si>
    <t>2/3 + e(all members)</t>
  </si>
  <si>
    <t>ARTICLE 46
Share
The King has the right to dissolve the House of Representatives only if the latter, with the absolute majority of its members:
1°.either rejects a motion of confidence in the Federal Government and does not propose to the King, within three days of the day of the rejection of the motion, the appointment of a successor to the prime minister;
2°.or adopts a motion of no confidence with regard to the Federal Government and does not simultaneously propose to the King the appointment of a successor to the prime minister.
The motions of confidence and no confidence can only be voted on forty-eight hours after the tabling of the motion.
Moreover, the King may, in the event of the resignation of the Federal Government, dissolve the House of Representatives after having received its agreement expressed by the absolute majority of its members.
The act of dissolution convenes the electorate within forty days and the House of Representatives within two months.
In case both Houses are dissolved in accordance with Article 195, the Houses are convened within three months.
In case of early dissolution, the new federal parliamentary term may not extend beyond the day when the first election of the European Parliament following this dissolution is held.
 TITLE IIICHAPTER IIARTICLE 77
The House of Representatives and the Senate are equally competent with respect to:
1°..declaring that there are reasons to revise such constitutional provision as they determine, and with respect revising and co-ordinating the Constitution;
Report error
TITLE VIIION THE REVISION OF THE CONSTITUTION
TITLE VIIIARTICLE 195
The federal legislative power has the right to declare that there are reasons to revise such constitutional provision as it determines.
Following such a declaration, the two Houses are automatically dissolved.
Two new Houses are then convened, in accordance with Article 46.
These Houses make decisions, in common accord with the King, on the points submitted for revision.
In this case, the Houses can only debate provided that at least two thirds of the members who make up each House are present; and no change is adopted unless it is supported by at least two thirds of the votes cast.
TITLE VIIIARTICLE 195TRANSITIONAL PROVISION
The Houses, as they were constituted following their full renewal on 13 June 2010, may however, in common consent with the King, pronounce on the revision of the following provisions, articles and groups of articles, but only to the effect as indicated hereafter:
1°..Articles 5, second paragraph, 11bis, 41, fifth paragraph, 159 and 190, in order to guarantee the full exercise of the Regions' autonomy towards the provinces without prejudice neither to the present specific provisions of the law of 9 August 1988 modifying the law on municipalities, the electoral law for municipalities, the law organising public centres for social welfare, the law on provinces, the electoral Code, the electoral law for provinces and the law organising simultaneous elections for the Legislative Houses and the provincial councils, nor to those relating to the office of governor, and in order to limit the meaning of the word "province" used in the Constitution to its sole territorial meaning, to the exclusion of any institutional meaning;
2°..Article 23, in order to guarantee the right to child allowances;
3°..Title III, in order to insert in it a provision aimed at prohibiting to modify election laws less than one year before the date when elections are to be held;
4°..Articles 43, § 1, 44, second paragraph, 46, fifth paragraph, 69, 71, 74, 75, 76, 77, 78, 79, 80, 81, 82, 83 and 168, in order to implement the reform of the bicameral system and entrust the residual legislative powers to the House of Representatives;
5°..Articles 46 and 117, in order to provide that the parliamentary elections at federal level will take place the same day as the election of the European Parliament and that, in case the Federal Parliament is dissolved before its term expires, the new Federal Parliament's term may not extend beyond the day when the election of the European Parliament following this dissolution is held, as well as in order to permit a law passed by a majority as described in Article 4, last paragraph to entitle the Regions and Communities to determine, by special decree or special ordinance, the duration of the term for which their Parliaments are elected and the date for the election of these Parliaments, and to provide that a law, passed by a majority as described in Article 4, last paragraph, fixes the date when the new rules laid down in this division with regard to elections will enter into force;
6°..Article 63, § 4, in order to supplement it with a sub-paragraph providing that, for the election of the House of Representatives, the law establishes special rules with a view to protecting the legitimate interests of French and Dutch-speaking people in the former province of Brabant, and also providing that the provisions which establish these special rules can only be amended by a law passed by a majority as described in Article 4, last paragraph;
7°..Title III, Chapter IV, Section II, Sub-Section III, in order to insert in it an article permitting a law passed by a majority as described in Article 4, last paragraph to attribute to the Region of Brussels-Capital, for the bilingual region of Brussels-Capital, powers that have not been assigned to the Communities in the matters referred to in Article 127, § 1, first paragraph, 1° and in the same paragraph, 3°, insofar as this 3° concerns matters referred to in the aforesaid 1°;
8°..Title III, Chapter IV, Section II, Sub-Section III, in order to permit a law passed by a majority as described in Article 4, last paragraph to simplify the procedures for cooperation between entities;
9°..Article 143, in order to supplement it with a paragraph that precludes the procedure relating to conflicts of interest from being initiated with respect to a law or decision of the federal authority which modifies the basis of taxation, the tax rate, exemptions or any other element playing a role in the computation of the personal income tax;
10°..Title III, Chapter VI, in order to insert in it a provision according to which any modification to essential features of the reform regarding the use of languages in judicial matters in the judicial district of Brussels, as well as any modification to features relating to this issue and concerning the public prosecutor's office, the Bench and the extent of jurisdiction, may only be made by a law passed by a majority as described in Article 4, last paragraph;
11°..Article 144, in order to provide that the Council of State and, as the case may be, federal administrative courts may rule on the effects that their decisions have with respect to private law;
12°..Article 151, § 1, in order to provide that the Communities and the Regions are entitled to order prosecutions regarding matters falling under their responsibility through the Minister of Justice, who immediately carries out the prosecutions, and in order to permit a law passed by a majority as described in Article 4, last paragraph to provide for the participation by the Communities and the Regions, in matters falling under their responsibility, in decisions concerning the investigation and prosecution policy of public prosecutors, the binding guidelines with respect to criminal policy, the representation in the College of Public Prosecutors General, and in decisions concerning the Guide Note on Full Security and the National Security Scheme;
13°..Article 160, in order to add a paragraph providing that any modification to the new powers granted to the general assembly of the Council of State's Administrative Litigation Section and any modification to the rules for deliberation in this assembly may only be made by a law passed by a majority as described in Article 4, last paragraph;
14°..Title IV, in order to insert in it an article providing that, with respect to the election of the European Parliament, the law determines special rules with a view to protecting the legitimate interests of French and Dutch-speaking people in the former province of Brabant, and that the provisions which establish these special rules can only be amended by a law passed by a majority as described in Article 4, last paragraph;
15°..Article 180, in order to provide that assemblies which legislate through federate laws or rules referred to in Article 134 may entrust tasks to the Court of Audit, for which a fee may be charged.
The Houses can only de+Y8bate on the items mentioned in the first paragraph provided that at least two thirds of the members who make up each House are present and no change is adopted unless it is supported by at least two thirds of the votes cast.
This transitional provision is not to be considered as a declaration in the sense of Article 195, second paragraph.
TITLE VIIIARTICLE 196
No constitutional revision can be started or pursued during times of war or when the Houses are prevented from meeting freely on federal territory.
TITLE VIIIARTICLE 197
During a regency, no changes can be made to the Constitution regarding the constitutional powers of the King and Articles 85 to 88, 91 to 95, 106 and 197 of the Constitution.
TITLE VIIIARTICLE 198
In agreement with the King, the Constituent Houses can change the numbering of articles and of subdivisions of the articles of the Constitution, as well as the subdivisions of the latter into titles, Chapters and Sections, modify the terminology of provisions not submitted for revision in order to harmonise them with the terminology of new provisions and to ensure the concordance of the Dutch, French and German texts of the Constitution.
In this case, the Houses can debate only provided that at least two thirds of the members who make up each House are present; and no change will be adopted unless it is supported by at least two thirds of the votes cast.</t>
  </si>
  <si>
    <t>46, 77,195-198</t>
  </si>
  <si>
    <r>
      <t xml:space="preserve">After declaring need for amendment, there is an election. However, it is not clearly stated how the need for amendment is determined (who proposes and whether it is approved) (Art 77). After need for amendment is determined, houses are dissolved (specified how in art 46). There must be 2/3 of members present and approval must be by 2/3 of votes. Points for amendment are decided with the King. An additional transistory provision (195) specifies </t>
    </r>
    <r>
      <rPr>
        <i/>
        <sz val="12"/>
        <color theme="1"/>
        <rFont val="맑은 고딕"/>
        <family val="2"/>
        <scheme val="minor"/>
      </rPr>
      <t>how</t>
    </r>
    <r>
      <rPr>
        <sz val="12"/>
        <color theme="1"/>
        <rFont val="맑은 고딕"/>
        <family val="2"/>
        <scheme val="minor"/>
      </rPr>
      <t xml:space="preserve"> certain articles may be amended (eg to give more detail on a procedure)</t>
    </r>
  </si>
  <si>
    <t>2/3 of votes</t>
  </si>
  <si>
    <t>not elected (jointly determines)</t>
  </si>
  <si>
    <t>2/3 of votes with 2/3 present</t>
  </si>
  <si>
    <t>2/3 + e(2/3 present) + e(two chambers)</t>
  </si>
  <si>
    <t>President (+Council) or National Assembly can initiate amendment. Then need either 3/4 + referendum OR 4/5 (no ref) to amend. Certain amendments (undermining territory) cannot be undertaken.</t>
  </si>
  <si>
    <t>Pres (+Council) or National Assembly</t>
  </si>
  <si>
    <t>3/4 of members</t>
  </si>
  <si>
    <t>TITLE IVIIARTICLE 103
The Deputies shall have the right of amendment.
TITLE IVIIARTICLE 104
Resolutions, draft bills and amendments which are not in the domain of the law shall be inadmissible.
The inadmissibility shall be pronounced by the President of the National Assembly after due deliberation of the Office [of the National Assembly].
If it appears that the proposal or the amendment would be contrary to a delegation accorded by virtue of Article 102 of the present Constitution, the Government may oppose the inadmissibility.
In case of a dispute about paragraphs 1 and 3 of the present article, the Constitutional Court, upon the request of the President of the National Assembly or the Government, shall decide within a period of eight days. ARTICLE 154
The initiative for the revision of the Constitution shall belong concurrently to the President of the Republic, after a decision taken in the Council of Ministers, and to the members of the National Assembly.
In order to be taken into consideration, the draft or proposal of revision must be voted by a three-fourths majority of the members composing the National Assembly.
ARTICLE 155
The revision shall be agreed to only after having been approved by referendum, unless the draft or the proposal involved shall have been approved by a four-fifths majority of the members composing the Assembly.
ARTICLE 156
No procedure for revision may be instituted or continued when it shall undermine the integrity of the territory.
The republican form of government and the secularity of the State may not be made the object of a revision.</t>
  </si>
  <si>
    <t>2 (people + house)</t>
  </si>
  <si>
    <t>Approving Bodies (# + explan)</t>
  </si>
  <si>
    <t>3 (pres + house + people)</t>
  </si>
  <si>
    <t>2 (2 houses+king (nc))</t>
  </si>
  <si>
    <t>yes if 3/4 (not if 4/5 vote to amend) [threshold not specified]</t>
  </si>
  <si>
    <t>3/4 + ref OR 4/5</t>
  </si>
  <si>
    <t>citizens (20%), assembly (maj vote for total reform. Unspecified otherwise)), president (for total reform. Unspecified otherwise).</t>
  </si>
  <si>
    <t>2/3 of members present (quroum not spec)</t>
  </si>
  <si>
    <t>yes (maj not specified)</t>
  </si>
  <si>
    <t>2/3 of members present + 0.5 (ref)</t>
  </si>
  <si>
    <t>3 (2 chambers + people)</t>
  </si>
  <si>
    <t>2/3 + 0.5 (ref) + e(two chambers)</t>
  </si>
  <si>
    <t>Two procedures: one for partial revision and one for total reform. Partial revision can be initiated by the citizens (20% of electorate) or by Plurinational assembly (congress). If the congress initiates, it must pass by 2/3 of members--not clear whether they vote together or in each house?--then referendum.</t>
  </si>
  <si>
    <t>2/3 of members present (quorum not spec)</t>
  </si>
  <si>
    <t>not mentioned [but has rights in legislation]</t>
  </si>
  <si>
    <t>88-89</t>
  </si>
  <si>
    <t>CHAPTER VPART IV88INTRODUCTION OF BILLS
1. Except upon the recommendation of the President, which recommendation may be signified by the Vice-President or a Minister, the National Assembly shall not—
a..proceed upon any Bill (including any amendment to a Bill) that, in the opinion of the person presiding, makes provision for any of the following purposes—
i..for the imposition of taxation or the alteration of taxation otherwise than by reduction;
ii..for the imposition of any charge upon the revenues or other funds of Botswana or the alteration of any such charge otherwise than by reduction;
iii..for the payment, issue or withdrawal from any public fund of Botswana of any moneys not charged thereon or any increase in the amount of such payment, issue or withdrawal; or
iv..for the composition or remission of any debt to the Government of Botswana;
b..proceed upon any motion (including any amendment to a motion) the effect of which, in the opinion of the person presiding, would be to make provision for any of those purposes.
2. The National Assembly shall not proceed upon any Bill (including any amendment to a Bill) that, in the opinion of the person presiding, would, if enacted, alter any of the provisions of this Constitution or affect—
a..the designation, recognition, removal of powers of Chiefs, Sub-Chiefs or Headmen;
b..the organization, powers or administration of customary courts;
c..customary law, or the ascertainment or recording of customary law; or
d..tribal organization or tribal property, unless—
i..a copy of the Bill has been referred to the House of Chiefs after it has been introduced in the National Assembly; and
ii..a period of 30 days has elapsed from the date when the copy of the Bill was referred to the House of Chiefs. 89. ALTERATION OF CONSTITUTION
1. Subject to the provisions of this section Parliament may alter this Constitution.
2. A Bill for an Act of Parliament under this section shall not be introduced into the National Assembly unless the text of the Bill has been published in the Gazette not less than 30 days before it is so introduced.
3. In so far as it alters any of the provisions of—
a.Chapter II; sections 30 to 44 inclusive, 47 to 51 inclusive, and 56; sections 77 to 79 inclusive and section 85; Chapter VII; or sections 117 to 120 inclusive and section 127 in its application to any of the provisions mentioned in this paragraph;
b.sections 57, 63 to 66 inclusive, 86 to 89 inclusive, 90(2) and (3), 91(2), (3), (4) and (5), and 92; Chapter VI; and section 127 in its application to any of the provisions mentioned in this paragraph,
a Bill for an Act of Parliament under this section shall not be passed by the National Assembly unless—
i.the final voting on the Bill in the Assembly takes place not less than three months after the previous voting thereon in the Assembly; and
ii.at such final voting the Bill is supported by the votes of not less than two- thirds of all the Members of the Assembly.
4. In so far as it alters any of the provisions mentioned in subsection (3)(b) of this section no Bill shall be presented to the President for his assent unless after its passage by the Assembly it has been submitted to the electors qualified to vote in the election of the Elected Members of the National Assembly, and, on a vote taken in such manner as Parliament may prescribe, the majority of the electors voting have approved the Bill.
5. In this section—
a.references to any provision of this Constitution include references to any provision of a law that alters that provision; and
b.references to the alteration of any provision of this Constitution include references to the amendment, modification or re-enactment, with or without modification, of that provision, the suspension or repeal of that provision and the making of a different provision in lieu thereof.</t>
  </si>
  <si>
    <t>president, representatives (1/3 of either house) or "more than one-half of the Legislative Assemblies of units of the Federation, each manifesting its decision by a simple majority of its members."</t>
  </si>
  <si>
    <t>3/5 in two rounds (needed in both)</t>
  </si>
  <si>
    <t>yes: cannot propose amendment on same topic as failed amendment in same legislative session</t>
  </si>
  <si>
    <t>3/5 in two rounds in both chambers</t>
  </si>
  <si>
    <t>2 (houses)</t>
  </si>
  <si>
    <t>3/5 + e(two chambers) + e(two rounds)</t>
  </si>
  <si>
    <t>President, representatives (1/3) or leg assemblies (maj representing over half of assemblies) can propose amendment. Need 3/5 in each of two debates within each house to approve. No mention of president for assent nor of referendum. Some topics unamendable.</t>
  </si>
  <si>
    <t>National assembly can amend certain portions of constitution but replacement and other significant eissues must go through Grand National Assembly (400 members). Members (1/4) and president can initiate regular amendments. Amendments need 3/4 vote on 3 ballots over 3 days. If an amendment gets &gt;2/3 &amp; &lt;3/4 of votes, it can be re-voted on between 2 and 5 months and be approved by a second vote of "require a majority of two-thirds of the votes of all Members". Amendment must be signed and promulgated within 7 days.</t>
  </si>
  <si>
    <t>count promulgation w/in 7 days as epsilon?</t>
  </si>
  <si>
    <t>president and members (1/4)</t>
  </si>
  <si>
    <t>3/4 of members (or 2 rounds of 2/3)</t>
  </si>
  <si>
    <t>1 (house)</t>
  </si>
  <si>
    <t>Pres (+ Gov) or either house (abs maj) can initiate amendment. Pres can send bill to referendum (approval not specified). Both houses must approve amendment 4/5 (assembly) and 2/3 (senate). Some amendment topics not permitted.</t>
  </si>
  <si>
    <t>pres (+Gov) either house (abs maj)</t>
  </si>
  <si>
    <t>4/5</t>
  </si>
  <si>
    <t>2/3</t>
  </si>
  <si>
    <t>not mentioned (except can send proposal to referendum)</t>
  </si>
  <si>
    <t>not mentioned (except in context of approval if pres sends bill)</t>
  </si>
  <si>
    <t>2 (2 houses)</t>
  </si>
  <si>
    <t xml:space="preserve">counted second house as 0.5*2/3 (george formula). </t>
  </si>
  <si>
    <t>Count pres+ref as alternate route?</t>
  </si>
  <si>
    <t>province legislatures, either house</t>
  </si>
  <si>
    <t xml:space="preserve">General formula is 2/3 of state legislatures (rep 50% of population) + maj in each house. There are two types of exceptions: 1) if there are certain 'entrenched' items then all the legislatures must approve them. 2) if only a certain number of provinces are affected, then only those provinces + two houses must approve. It also seems, by art 47, that if the senate does not pass its own resolution within 180 days, the house can pass the same resolution a second time after that period. </t>
  </si>
  <si>
    <t>2/3 of legislative assemblies of provinces (rep 50% of population)</t>
  </si>
  <si>
    <t>majority in both houses + 2/3 of province assemblies</t>
  </si>
  <si>
    <t>3 (2 houses + province assemblies)</t>
  </si>
  <si>
    <t>0.5 +2/3 +e(two houses) + e(50% pop representation)-e(alt: instead of senate, pass 2x in house &gt;180 days apart)</t>
  </si>
  <si>
    <t>CONSTITUTION ACT 1982PART II35.1COMMITMENT TO PARTICIPATION IN CONSTITUTIONAL CONFERENCE
The government of Canada and the provincial governments are committed to the principle that, before any amendment is made to Class 24 of section 91 of the “Constitution Act, 1867”, to section 25 of this Act or to this Part,
a..a constitutional conference that includes in its agenda an item relating to the proposed amendment, composed of the Prime Minister of Canada and the first ministers of the provinces, will be convened by the Prime Minister of Canada; and
b..the Prime Minister of Canada will invite representatives of the aboriginal peoples of Canada to participate in the discussions on that item.38 1. An amendment to the Constitution of Canada may be made by proclamation issued by the Governor General under the Great Seal of Canada where so authorized by
a.resolutions of the Senate and House of Commons; and
b.resolutions of the legislative assemblies of at least two-thirds of the provinces that have, in the aggregate, according to the then latest general census, at least fifty per cent of the population of all the provinces.
2. MAJORITY OF MEMBERS
An amendment made under subsection (1) that derogates from the legislative powers, the proprietary rights or any other rights or privileges of the legislature or government of a province shall require a resolution supported by a majority of the members of each of the Senate, the House of Commons and the legislative assemblies required under subsection (1).
3. EXPRESSION OF DISSENT
An amendment referred to in subsection (2) shall not have effect in a province the legislative assembly of which has expressed its dissent thereto by resolution supported by a majority of its members prior to the issue of the proclamation to which the amendment relates unless that legislative assembly, subsequently, by resolution supported by a majority of its members, revokes its dissent and authorizes the amendment.
4. REVOCATION OF DISSENT
A resolution of dissent made for the purposes of subsection (3) may be revoked at any time before or after the issue of the proclamation to which it relates.
39.
1. RESTRICTION ON PROCLAMATION
A proclamation shall not be issued under subsection 38(1) before the expiration of one year from the adoption of the resolution initiating the amendment procedure thereunder, unless the legislative assembly of each province has previously adopted a resolution of assent or dissent.
2. IDEM
A proclamation shall not be issued under subsection 38(1) after the expiration of three years from the adoption of the resolution initiating the amendment procedure thereunder.
40. COMPENSATION
Where an amendment is made under subsection 38(1) that transfers provincial legislative powers relating to education or other cultural matters from provincial legislatures to Parliament, Canada shall provide reasonable compensation to any province to which the amendment does not apply.
41. AMENDMENT BY UNANIMOUS CONSENT
An amendment to the Constitution of Canada in relation to the following matters may be made by proclamation issued by the Governor General under the Great Seal of Canada only where authorized by resolutions of the Senate and House of Commons and of the legislative assembly of each province:
a.the office of the Queen, the Governor General and the Lieutenant Governor of a province;
b.the right of a province to a number of members in the House of Commons not less than the number of Senators by which the province is entitled to be represented at the time this Part comes into force;
c.subject to section 43, the use of the English or the French language;
d.the composition of the Supreme Court of Canada; and
e.an amendment to this Part.
42.
1. AMENDMENT BY GENERAL PROCEDURE
An amendment to the Constitution of Canada in relation to the following matters may be made only in accordance with subsection 38(1):
a.the principle of proportionate representation of the provinces in the House of Commons prescribed by the Constitution of Canada;
b.the powers of the Senate and the method of selecting Senators;
c.the number of members by which a province is entitled to be represented in the Senate and the residence qualifications of Senators;
d.subject to paragraph 41(d), the Supreme Court of Canada;
e.the extension of existing provinces into the territories; and
f.notwithstanding any other law or practice, the establishment of new provinces.
2. EXCEPTION
Subsections 38(2) to (4) do not apply in respect of amendments in relation to matters referred to in subsection (1).
43. AMENDMENT OF PROVISIONS RELATING TO SOME BUT NOT ALL PROVINCES
An amendment to the Constitution of Canada in relation to any provision that applies to one or more, but not all, provinces, including
a.any alteration to boundaries between provinces, and
b.any amendment to any provision that relates to the use of the English or the French language within a province,
may be made by proclamation issued by the Governor General under the Great Seal of Canada only where so authorized by resolutions of the Senate and House of Commons and of the legislative assembly of each province to which the amendment applies.
44. AMENDMENTS BY PARLIAMENT
Subject to sections 41 and 42, Parliament may exclusively make laws amending the Constitution of Canada in relation to the executive government of Canada or the Senate and House of Commons.
45. AMENDMENTS BY PROVINCIAL LEGISLATURES
Subject to section 41, the legislature of each province may exclusively make laws amending the constitution of the province.
46.
1. INITIATION OF AMENDMENT PROCEDURES
The procedures for amendment under sections 38, 41, 42 and 43 may be initiated either by the Senate or the House of Commons or by the legislative assembly of a province.
2. REVOCATION OF AUTHORIZATION
A resolution of assent made for the purposes of this Part may be revoked at any time before the issue of a proclamation authorized by it.
47.
1. AMENDMENTS WITHOUT SENATE RESOLUTION
An amendment to the Constitution of Canada made by proclamation under section 38, 41, 42 or 43 may be made without a resolution of the Senate authorizing the issue of the proclamation if, within one hundred and eighty days after the adoption by the House of Commons of a resolution authorizing its issue, the Senate has not adopted such a resolution and if, at any time after the expiration of that period, the House of Commons again adopts the resolution.
2. COMPUTATION OF PERIOD
Any period when Parliament is prorogued or dissolved shall not be counted in computing the one hundred and eighty day period referred to in subsection (1).
48. ADVICE TO ISSUE PROCLAMATION
The Queen’s Privy Council for Canada shall advise the Governor General to issue a proclamation under this Part forthwith on the adoption of the resolutions required for an amendment made by proclamation under this Part.
49. CONSTITUTIONAL CONFERENCE
A constitutional conference composed of the Prime Minister of Canada and the first ministers of the provinces shall be convened by the Prime Minister of Canada within fifteen years after this Part comes into force to review the provisions of this Part.  CONSTITUTION ACT 1982PART VII523AMENDMENTS TO CONSTITUTION OF CANADA
Amendments to the Constitution of Canada shall be made only in accordance with the authority contained in the Constitution of Canada.</t>
  </si>
  <si>
    <t>35, 38-49, 52</t>
  </si>
  <si>
    <t>PART VTITLE IIICHAPTER IVSECTION IIARTICLE 1731
1. Constitutional draft bills must be approved by two-thirds of the Deputies currently in office. ARTICLE 179. POWERS OF THE DEPUTIES
Deputies may do the following:
a.Introduce bills for the revision of the Constitution;
b.Introduce legal bills, referenda questions, resolutions, motions, and deliberations;
c.Request ratification of Legislative Decrees;
d.Request and obtain from the Government, from Administrative bodies, and any public entity, information and publications considered indispensable to the exercise of their duties;
e.Question the Government, Public Administration, or any public entity and obtain a response within a reasonable time;
f.Request the formation of Ad Hoc Commissions, as provided by the by-laws of the National Assembly;
g.Other powers as provided in the by-laws of the National Assembly and the Statute of Deputies. 
TITLE III. REVISION OF THE CONSTITUTION
ARTICLE 309. JURISDICTION, TIMING AND INITIATIVE OF CONSTITUTIONAL REVISION
1. This Constitution may be revised, in whole or in part, by the National Assembly after five years from the date of its promulgation.
2. The National Assembly may, however, at any time, assume the power to revise the Constitution by four-fifths of the Deputies currently in office.
3. Initiative for revision of the Constitution shall be vested with the Deputies.
ARTICLE 310. BILLS FOR CONSTITUTIONAL REVISION
1. Bills for Constitutional revision must indicate the Articles to be revised and the direction of the changes to be introduced.
2. Bills for Constitutional revision must be signed by not less than one-third of the Deputies currently in office.
3. Upon the introduction of any bill for Constitutional revision, all others must be introduced within a maximum period of sixty days.
ARTICLE 311. APPROVAL OF REVISIONS
1. Each of the changes to the Constitution must be approved by two-thirds of the Deputies currently in office.
2. The changes approved must be assembled in a single law of revision.
ARTICLE 312. NEW CONSTITUTIONAL TEXT
1. Changes to the Constitution must be inserted at the proper place by means of the necessary substitutions, deletions, and additions.
2. The new text of the Constitution shall be published at the same time as the law of revision.
ARTICLE 313. MATERIAL LIMITS TO REVISION
1. The following may not be subject to revision:
a.National independence, the integrity of the national territory, and the unity of the State;
b.The republican form of government;
c.Universal, direct, secret, periodic suffrage for the election of national and local officeholders.
d.The separation and interdependence of national bodies;
e.The autonomy of local power;
f.The independence of the Courts;
g.Pluralism of expression and political organization, and the right of opposition;
2. Laws of revision may not restrict or limit the rights, liberties, and guarantees established in the Constitution.
ARTICLE 314. PROMULGATION
The President of the Republic may not refuse to promulgate laws of revision.
ARTICLE 315. PROHIBITION AGAINST REVISION
In wartime and during martial law or a state of emergency, no law revising the Constitution may be passed.</t>
  </si>
  <si>
    <t>173, 179, 309-315</t>
  </si>
  <si>
    <t xml:space="preserve">yes: 5 years from promulgation. Before this period requires 4/5 approval. </t>
  </si>
  <si>
    <t>deputies (1/3)</t>
  </si>
  <si>
    <t xml:space="preserve">Restriction on amendment within first 5 years (need 4/5 to amend). After this time, only need 2/3 in house. President cannot refuse to promulgate. Some topics unamendable. </t>
  </si>
  <si>
    <t>3/5 of members</t>
  </si>
  <si>
    <t>president and members (motion of 'any of the members')</t>
  </si>
  <si>
    <t>must approve but can be overridden by houses with 2/3 vote. If overridden, can send bill to plebiscite</t>
  </si>
  <si>
    <t>no--unless president calls one. Vote separately on questions in disagreement.</t>
  </si>
  <si>
    <t>3/5 of members in both houses + approval of president</t>
  </si>
  <si>
    <t>3 (2 chambers + president)</t>
  </si>
  <si>
    <t>President or members of congress can move to initiate amendment. Amendment needs 3/5 approval in both houses in addition to presidential approval. See art 128 for in-depth discussion on the conditions under which presidential and congressional disagreement translate into outcomes: President can call referendum on debated issues and Congress can override the president with vote of 2/3. Certain topics have higher vote threshold (2/3 vs 3/5).</t>
  </si>
  <si>
    <t>155, 374-379</t>
  </si>
  <si>
    <t>Gov, 10 members of Congress, deputies (20%) or citizens (5%) councils or deputies of the country (30%)</t>
  </si>
  <si>
    <t>majority vote in two ordinary and consecutive session periods</t>
  </si>
  <si>
    <t>no--unless they demand it</t>
  </si>
  <si>
    <t>0.5 + e(two discussions) + e(two chambers) -e(alt: can do constituent assembly)</t>
  </si>
  <si>
    <t>president, gov, houses, people (100k)</t>
  </si>
  <si>
    <t>yes--unless 3/5 approval</t>
  </si>
  <si>
    <t>majority (over two session periods) or majority for constituent assembly</t>
  </si>
  <si>
    <t>3 (2 houses + ref)</t>
  </si>
  <si>
    <t>absolute majority in both houses and ref OR 3/5 in both houses</t>
  </si>
  <si>
    <t>indirectly: conducts referendum</t>
  </si>
  <si>
    <t>President, government, houses or citizens (100k) can initiate amendment. Need absolute majority in both houses and a referendum or need 3/5 majority in both houses to forego the referendum. Some amendment topics (reducing rights, eg) forbidden.</t>
  </si>
  <si>
    <t xml:space="preserve">Seems that basic amendment requires majority vote in both houses in two consecutive ordinary session periods. If amendment through public request (art 155), need referendum with majority vote and 1/4 turnout. Certain amendment topics (e.g. rights in Ch1) must be submitted to referendum within 6 months if req by 5% of voters. To defeat, need majority against and 1/4 turnout. Alternate path: majority in both houses to elect a Constituent Assembly with approval by 1/3 of voters (read as majority with 1/3 turnout). </t>
  </si>
  <si>
    <t>citizens (5%), deputies (10)</t>
  </si>
  <si>
    <t>2/3 approval</t>
  </si>
  <si>
    <t>Winding amendment procedure: need 4 approvals, 1 to admit to discussion, 1 to approve draft, 1 to approve bill, and 1 to make bill official. Amendment initiated by citizens (5%) or deputies (10). Must be read 3 times at intervals of 6 days to determine whether it is admitted for discussion. If admitted to discussion, sent to committee and then approved by 2/3 majority (two levels of reform approval (?)). Majority approves the bill, sends it to the executive, a third discussion over three debates approves the bill by 2/3.  General reform possible only through Constituent Assembly, approved by 2/3 of members of legislative assembly (and does not require exectutive sanction).</t>
  </si>
  <si>
    <t>approves but does not make clear if has veto--gives his "observations or recommend[s] it"</t>
  </si>
  <si>
    <t>no--unless agreed by 2/3 of members in legislative assembly</t>
  </si>
  <si>
    <t>2/3 of members after a series of discussions</t>
  </si>
  <si>
    <t>Simple procedure: 2/3 majority of each community (Greek and Turkish). Some aspects ('basic Articles') cannot be amended. Otherwise, simple 2/3.</t>
  </si>
  <si>
    <t>house (not specified beyond this)</t>
  </si>
  <si>
    <t>2/3 of total number of Greek and Turkish representatives (each community)</t>
  </si>
  <si>
    <t>2/3 of total number of members in two separate communities (2/3 Greek + 2/3 Turkish)</t>
  </si>
  <si>
    <t>1 (two communities in one house)</t>
  </si>
  <si>
    <t>Some articles unamendable. Unclear whether need majority for proposing amendment or not. Quorum is 1/3. Need 3/5 of members in each chamber for amendment.</t>
  </si>
  <si>
    <t>deputies (majority (for resolution) with 1/3 present)</t>
  </si>
  <si>
    <t>yes: majority to pass + 40% of electorate approves</t>
  </si>
  <si>
    <t>majority (?)</t>
  </si>
  <si>
    <t>majority(?)</t>
  </si>
  <si>
    <t>3 (1 chamber 2x + people)</t>
  </si>
  <si>
    <t>After a bill is passed for amendment, there must be an election, and a subsequent passage (unamended), followed by a referendum. The referendum must occur within 6 months of the second passage, must be approved by a majority of voters and this majority must translate into 40% of the electorate.</t>
  </si>
  <si>
    <t>0.5 + 0.5 (post-election) + 0.5 (ref) + e (40% voters say yes) + e(time)</t>
  </si>
  <si>
    <t>members in either chamber (1/3) or executive</t>
  </si>
  <si>
    <t>93, 99, 120, 267-272</t>
  </si>
  <si>
    <t xml:space="preserve">ARTICLE 93
The National Congress legislates and supervises in representation of the people, and as a consequence it corresponds to it:
1.General attributions in legislative matters:
To declare by law the necessity for a Constitutional Reform;
ARTICLE 99. PROCEDURE BETWEEN THE CHAMBERS
Share
With the Bill of law approved in one of the chambers, it will be passed to the other for its timely discussion, observing the same constitutional formalities. If this chamber makes modifications, it will return the modified Bill to the chamber where it was initiated, in order for it to take cognizance of it again in a unique discussion and, if such modifications are accepted, this last chamber will send the law to the Executive Power. If they are rejected, the Bill will be returned to the other chamber and if this one approves them, it will send the Bill to the Executive Power. If the modifications are rejected, the Bill is considered rejected.
ARTICLE 120
It corresponds to the National Assembly:
1.To take cognizance of and to decide concerning the constitutional reforms, acting in this case, as a Revisory National Assembly;
ARTICLE 267 
The reform of the Constitution can only be made in the form indicated in it and can never be suspended or annulled by any power or authority, or by popular acclamations.
ARTICLE 268 
No modification to the Constitution can concern the form of government that must always be civil, republican, democratic and representative.
ARTICLE 269 
This Constitution can be reformed if the proposal for reform is presented in the National Congress with the support of the third part of the members of one or the other chamber, or if it is submitted by the Executive Power.
ARTICLE 270 
The need for the constitutional reform shall be declared by a law of convocation. This law, which cannot be the object of observations by the Executive Power, will order the meeting of the National Revisory Assembly, it will contain the object of the reform and will indicate the one or the several Articles of the Constitution which it concerns.
ARTICLE 271
In order to resolve with regards to the proposed reform, the National Revisory Assembly will meet within the fifteen days following the publication of the law that declares the need for the reform, with the presence of more than half of the members of each one of the chambers. Their decision will be taken by the majority of the two-thirds part of the votes. The constitutional reform cannot be initiated in case of the validity of any of the states of exception set forth in Article 262. Once the reform has been voted and proclaimed by the National Revisory Assembly, the Constitution will be published in its entirety with the reformed texts.
ARTICLE 272  
When the reform concerns the rights, fundamental guarantees and duties, the territorial and municipal order, the regimes of nationality, citizenship and foreigners, the regime of the currency, and concerning the procedures of reform instituted in this Constitution, it will require for ratification the majority of the citizens [masculine] and citizens [feminine] with electoral right, in an approbatory referendum convoked to such effect by the Central Electoral Board, once it has been voted and approved by the National Revisory Assembly.
ARTICLE 272
The Central Electoral Board will submit to referendum the reforms within sixty days following its formal reception.
The approval of the reforms to the Constitution by way of referendum requires more than half of the votes of the voters and that the number thereof exceeds thirty percent (30%) of the total number of citizens [masculine] and of citizens [feminine] that integrate the Electoral Registry, the total being the voters that express themselves either for the "YES" or for the "NO".
If the result of the referendum should be affirmative, the reform will be proclaimed and published in its entirety with the reformed texts by the National Revisory Assembly.
</t>
  </si>
  <si>
    <t>not mentioned (promulgates laws)</t>
  </si>
  <si>
    <t>3 (2 chambers (pass law) + assembly )</t>
  </si>
  <si>
    <t>no--unless on rights, guarantees, etc majority + yes of 30% of electorate or more.</t>
  </si>
  <si>
    <t>2/3 in joint session with majority of representatives from each chamber.</t>
  </si>
  <si>
    <t>majority in both houses + 2/3 of joint assembly</t>
  </si>
  <si>
    <t>2/3  + e (majority in both houses) + e(two chambers) + e(majority present in both houses for joint session)</t>
  </si>
  <si>
    <t xml:space="preserve">Law must be passed for amendment. This amendment must then be passed in a separate assembly by 2/3. Some topics require referendum. If referendum occurs, must have yes vote of 30% of citizens and win majority. </t>
  </si>
  <si>
    <t xml:space="preserve">members of parliament and parliamentary groups </t>
  </si>
  <si>
    <t>must wait six years between amendments (override with 4/5)</t>
  </si>
  <si>
    <t>shall not refuse to promulgate</t>
  </si>
  <si>
    <t>no: only for changing the national flag and form of gov</t>
  </si>
  <si>
    <t>1 (parl)</t>
  </si>
  <si>
    <t>If it has been &gt;6 years since promulgation or constitutional amendment, hurdle is 2/3. Otherwise, hurdle is 4/5 for amendment. No referendum unless upon form of gov or flag (art 156). No amendments during time of emergency.</t>
  </si>
  <si>
    <t>can only have one grass-roots prorposal (citizens) processed at one time</t>
  </si>
  <si>
    <t>84, 103, 106, 120, 218, 441-444</t>
  </si>
  <si>
    <t xml:space="preserve">ARTICLE 84
The National Assembly and all bodies with legal and regulatory authority shall be obligated to adjust, formally and materially, the laws and other legal standards related to the rights provided for in the Constitution and international treaties and those that are needed to guarantee the dignity of human beings or communities, peoples and nations. In no case shall amending the Constitution, laws, other legal and regulatory frameworks or actions by the government endanger the rights recognized by the Constitution.
ARTICLE 103
Grass-roots legal and regulatory initiatives shall be exercised to propose the creation, amendment or repeal of legal regulations to the Legislative Branch of Government or any other body that has a regulatory jurisdiction. It must benefit from the backing of a number accounting for no less than zero point twenty-five percent (0.25%) of the persons registered in the voter registration list of the corresponding jurisdiction.
Those who propose a grass-roots initiative shall participate, by means of their representatives, in discussing the project in the corresponding body, which shall have a term of one-hundred eighty (180) days to review the proposal; if the proposal is not reviewed within those time-limits, it will enter into force.
When it involves a bill, the President of the Republic shall be able amend the bill but not to veto it completely.
For the submittal of constitutional amendment proposals, the backing of a number accounting for no less than one percent (1%) of the persons registered in the voter registration list shall be required. If the Legislative Branch does not review the proposal within a term of one year, the proposers will be able to request the National Electoral Council to call for a referendum, without the need to provide the eight percent (8%) backing of those registered in the voter registration list. While one grass-roots proposal to amend the Constitution is being processed, no other can be submitted at the same time.
Report error
ARTICLE 106
The National Electoral Council, once it is apprised of the decision taken by the President of the Republic or the decentralized autonomous governments or accepts the petition requested by the citizenry, shall within fifteen (15) days call for a referendum, plebiscite or recall (motion to dismiss), which then must be held in the ensuing sixty (60) days.
For the adoption of a matter proposed for referendum, plebiscite or recall, an absolute majority of valid votes shall be required, except for a referendum to recall the President of the Republic, in which case the absolute majority of voters is required.
The people's decision shall require mandatory and immediate enforcement. In the case of recall, the challenged authority shall be removed from office and shall be replaced by whoever is stipulated by the Constitution
ARTICLE 120
The National Assembly shall have the following attributions and duties, in addition to those provided for by law:
5.To participate in the constitutional reform process.
ARTICLE 218
Share
The National Electoral Council shall be comprised of five standing council persons, who shall hold a six-year term of office. The Council shall be partially renewed every three years, two members the first time, three the second time, and so on There shall be five alternate council persons who shall be renewed using the same approach as the one for the standing members.
The Chair and Vice-Chair shall be elected from among its standing members and shall hold a three-year term of office.
The Chair of the National Electoral Council shall be the representative of the Electoral Branch. The law shall determine the organization, functioning and jurisdiction of the deconcentrated electoral bodies, which shall be temporary in nature.
To be a member of the National Electoral Council, one must be an Ecuadorian national and in possession of political rights.
ARTICLE 441
The amendment of one or various articles of the Constitution that does not alter the fundamental structure or the nature and constituent elements of the State, does not set constraints on rights and guarantees, and does not change the procedure for amending the Constitution shall be carried out as follows:
1.By means of a referendum requested by the President of the Republic or by the citizenry with the backing of at least eight percent (8%) of the persons registered in the voter registration list.
2.At the initiative of a number accounting for no less than one third of the members of the National Assembly.
The bill of amendment shall be processed in two discussions; the second discussion shall be held, without delay, no later than thirty (30) days after a year has elapsed since the start of the first debate. The amendment shall only be adopted if it is supported by two thirds of the members of the National Assembly.
ARTICLE 442
Partial amendment not entailing any constraint on constitutional rights and guarantees or changing the procedure for amending the Constitution shall take place at the initiative of the President of the Republic or at the request of the citizenry with the backing of at least one percent (1%) of all citizens registered on the voter registration list or by a resolution passed by a majority of the members of the National Assembly.
The constitutional amendment initiative shall be processed by the National Assembly in at least two discussions. The second discussion shall take place ninety (90) days at the latest after the first. The draft amendment shall be approved by the National Assembly. Once the bill for the constitutional amendment has been approved, a referendum shall be called within the following forty-five (45) days.
For approval of the referendum, at least one half plus one of the valid votes cast shall be required. Once the amendment has been adopted by the referendum, within the seven following days, the National Electoral Council shall order its publication.
ARTICLE 443
The Constitutional Court shall rule which of the procedures provided for in the present chapter pertains to each case.
ARTICLE 444
Installation of a Constituent Assembly can only be called by referendum. This referendum can be requested by the President of the Republic, by two thirds of the National Assembly or by twelve percent (12%) of the persons registered on the voter registration list. The referendum must include how representatives must be elected and the rules for the electoral process. The new Constitution, for its entry into force, shall require adoption by referendum with half plus one of all valid ballots cast.
</t>
  </si>
  <si>
    <t xml:space="preserve">If 'basic' (does not affect things such as fundamental structure of state), need ref + backing by 8% of citizens  or (?) members of the asembly (1/3).  For BILL: Bill shall be passed in 2 discussions, 1 year apart with a final vote of 2/3 by the assembly.FOR REF: need 1% of citizens, president, or national assembly (2 discussions, 90 days a part  with majroity approval and ref within 45 days. Need majority to pass (no quorum specified for amendments). A constituent assembly can only be called by referendum (requested by president, 2/3 of national assembly or 12% of registered voters). </t>
  </si>
  <si>
    <t>citizens (8%), president, national asembly (1/3)</t>
  </si>
  <si>
    <t>2/3 of members (2 discussions)</t>
  </si>
  <si>
    <t xml:space="preserve">not mentioned </t>
  </si>
  <si>
    <t>only if ref path (need maj, no quorum specified)</t>
  </si>
  <si>
    <t>2/3 majority (2 discussions) OR maj + ref (50% + 1)</t>
  </si>
  <si>
    <t>2/3 + e (2 discussions) + e (timing for discusssions) - e(alt: maj + ref)</t>
  </si>
  <si>
    <t>deputies (10)</t>
  </si>
  <si>
    <t>2/3 of deputies</t>
  </si>
  <si>
    <t>Deputies can propose election, need 1/2+1 to approve then need 2/3 to ratify). Amendment proposed by at least 10/84 deputies. No mention of other actors/involvement.</t>
  </si>
  <si>
    <t>president and members (1/5)</t>
  </si>
  <si>
    <t>Three ways to amend: 3/5 majority + referendum, 2 memberships of par (majority + election + 3/5 majority)l, as matter of urgency (4/5 + 2/3 votes). Bills will be read 3 times spaced out over months (r 3m r 1m) with amendment path chosen after the 3 readings.</t>
  </si>
  <si>
    <t>must wait 1 year after failed amendment (on same topic)</t>
  </si>
  <si>
    <t>2 (house + people)</t>
  </si>
  <si>
    <t>3/5</t>
  </si>
  <si>
    <t>yes: if first route. Assume majority. Details not specified.</t>
  </si>
  <si>
    <t>(only if different route chosen)</t>
  </si>
  <si>
    <t>2/3 of votes cast</t>
  </si>
  <si>
    <t>Majority to approve amendment but must wait until after elections to adopt by 2/3. Can also declare urgent by vote of 5/6 and then approve in same session by 2/3.</t>
  </si>
  <si>
    <t>73, 94, 95</t>
  </si>
  <si>
    <t>A proposal on the enactment, amendment or repeal of the Constitution or on the enactment of a limited derogation of the Constitution shall in the second reading be left in abeyance, by a majority of the votes cast, until the first parliamentary session following parliamentary elections. The proposal shall then, once the Committee has issued its report, be adopted without material alterations in one reading in a plenary session by a decision supported by at least two thirds of the votes cast.
However, the proposal may be declared urgent by a decision that has been supported by at least five sixths of the votes cast. In this event, the proposal is not left in abeyance and it can be adopted by a decision supported by at least two thirds of the votes cast.  
CHAPTER 8SECTION 94
A decision concerning the acceptance of an international obligation or the denouncement of it is made by a majority of the votes cast. However, if the proposal concerns the Constitution or an alteration of the national borders, or such transfer of authority to the European Union, an international organisation or an international body that is of significance with regard to Finland’s sovereignty, the decision shall be made by at least two thirds of the votes cast. (1112/2011, entry into force 1.3.2012)
CHAPTER 8SECTION 95
A Government bill for the bringing into force of an international obligation is considered in accordance with the ordinary legislative procedure pertaining to an Act. However, if the proposal concerns the Constitution or a change to the national territory, or such transfer of authority to the European Union, an international organisation or an international body that is of significance with regard to Finland’s sovereignty, the Parliament shall adopt it, without leaving it in abeyance, by a decision supported by at least two thirds of the votes cast. (1112/2011, entry into force 1.3.2012)</t>
  </si>
  <si>
    <t>(house 2x (intervening election))</t>
  </si>
  <si>
    <t>president (on rec of PM) and  MPs</t>
  </si>
  <si>
    <t xml:space="preserve">Two paths: pass bill in both houses + ref OR (for gov bills) can send to Congress and approve by 3/5 of votes cast. No amendments on form of government or during times where 'integrity of national territory is placed in jeopardy'. </t>
  </si>
  <si>
    <t>not mentioned (proposes amends and decides ref or congress)</t>
  </si>
  <si>
    <t>(Simple?) majority</t>
  </si>
  <si>
    <t>ARTICLE 42
The discussion of Government and Private Members' Bills shall, in plenary sitting, concern the text passed by the committee to which the Bill has been referred, in accordance with article 43, or failing that, the text which has been referred to the House.
Notwithstanding the foregoing, the plenary discussion of Constitutional Revision Bills, Finance Bills and Social Security Financing Bills, shall concern, during the first reading before the House to which the Bill has been referred in the first instance, the text presented by the Government, and during the subsequent readings, the text transmitted by the other House.
The plenary discussion at first reading of a Government or Private Members' Bill may only occur before the first House to which it is referred, at the end of a period of six weeks after it has been tabled. It may only occur, before the second House to which it is referred, at the end of a period of four weeks, from the date of transmission.
The previous paragraph shall not apply if the accelerated procedure has been implemented according to the conditions provided for in article 45. Neither shall it apply to Finance Bills, Social Security Financing Bills, or to Bills concerning a state of emergency.  ARTICLE 89:
The President of the Republic, on the recommendation of the Prime Minister, and Members of Parliament alike shall have the right to initiate amendments to the Constitution.
A Government or a Private Member's Bill to amend the Constitution must be considered within the time limits set down in the third paragraph of article 42 and be passed by the two Houses in identical terms. The amendment shall take effect after approval by referendum.
However, a Government Bill to amend the Constitution shall not be submitted to referendum where the President of the Republic decides to submit it to Parliament convened in Congress; the Government Bill to amend the Constitution shall then be approved only if it is passed by a three-fifths majority of the votes cast. The Bureau of the Congress shall be that of the National Assembly.
No amendment procedure shall be commenced or continued where the integrity of national territory is placed in jeopardy.
The republican form of government shall not be the object of any amendment.</t>
  </si>
  <si>
    <t>42, 89</t>
  </si>
  <si>
    <t>68.4. If the Parliament rejects the remarks of the President, the initial redaction of the draft law shall by put to the vote. A law or an Organic Law shall be deemed to be adopted if it is supported by not less than three fifths of the number of the members of the Parliament on the current nominal list. The constitutional amendment shall be deemed to be passed if it is supported by not less than two thirds of the total number of the members of the Parliament. 
ARTICLE 102
1. The following shall be entitled to submit a draft law on general or partial revision of the Constitution:
A.The President;
B.More than half of the total number of the members of the Parliament;
C.Not less than 200,000 electors.
2. A draft law on the revision of the Constitution shall be submitted to the Parliament, which shall promulgate the former for the public discussion. The Parliament shall begin the discussion of the draft law after a month from its promulgation.
3. The draft law on the revision of the Constitution shall be deemed to be adopted if it is supported by at least two thirds of the total number of the members of the Parliament of Georgia.
4. The law on the revision of the Constitution shall be signed and promulgated by the President of Georgia in accordance with a procedure provided for by Article 68 of the Constitution.
ARTICLE 103
The announcement of a state of emergency or martial law shall lead to the suspension of the revision of the Constitution until the cancellation of the state of emergency or martial law.</t>
  </si>
  <si>
    <t>president, members (50%), electors (200k)</t>
  </si>
  <si>
    <t>signs and promulgates</t>
  </si>
  <si>
    <t>President, members (50%) or citizens (200k) can propose amendments to constitution. Need 2/3 of members to approve and need delay between deciding to amend and amendment (1 month). President signs and promulgates law.</t>
  </si>
  <si>
    <t>2/3 (members in Bundestag, votes in Bundesrat)</t>
  </si>
  <si>
    <t>not mentioned (implied only house members)</t>
  </si>
  <si>
    <t>gives assent</t>
  </si>
  <si>
    <t>members (50/300)</t>
  </si>
  <si>
    <t xml:space="preserve">3/5 majority to propose over two ballots. Next parliament (intervening election) passes by absolute majority. Can also reverse: majority of members + election + 3/5. Publish in Gazette and must wait 5 years in between revisions. Some provisions unamendable (art 2.1, 4.1, 4.4, 4.7, 5.1, 5.3, 13.1, 13.26. </t>
  </si>
  <si>
    <t>yes: 5 years between revisions</t>
  </si>
  <si>
    <t>2 (2 parls)</t>
  </si>
  <si>
    <t xml:space="preserve">Two paths: entrenched/not provisions (non-entrenched coded at right). Many onerous steps but only requires 2/3 of members. Also requires certificate from speaker, consultation by Council of state (cabinet-like office), delays, publication in Gazette, and multiple readings. Entrenched provisions: referred to Council of State (which gives 'advice'), publishd in Gazette, referendum (75% vote with 40% turnout) and passed (majority?) by parl. </t>
  </si>
  <si>
    <t xml:space="preserve">Simple procedure: 2/3 of MEMBERS for Bundestag and 2/3 of VOTES of Bundesrat. Cannot amend division of federation into Lander, their participation on principle in the legislative process, or arts 1 and 20's principles. Const only amendable by laws expressly aimed at amending/supplmenting. </t>
  </si>
  <si>
    <t>0.5 + 0.5 (ref) + e(2 chambers) + e(time for bill consideration) - e(alt path)</t>
  </si>
  <si>
    <t xml:space="preserve">Albania </t>
  </si>
  <si>
    <t xml:space="preserve">Argentina </t>
  </si>
  <si>
    <t xml:space="preserve">Australia </t>
  </si>
  <si>
    <t xml:space="preserve">Austria </t>
  </si>
  <si>
    <t xml:space="preserve">Belgium </t>
  </si>
  <si>
    <t xml:space="preserve">Benin </t>
  </si>
  <si>
    <t xml:space="preserve">Bolivia </t>
  </si>
  <si>
    <t xml:space="preserve">Botswana </t>
  </si>
  <si>
    <t xml:space="preserve">Brazil </t>
  </si>
  <si>
    <t xml:space="preserve">Bulgaria </t>
  </si>
  <si>
    <t xml:space="preserve">Burundi </t>
  </si>
  <si>
    <t xml:space="preserve">Canada </t>
  </si>
  <si>
    <t xml:space="preserve">Cape Verde </t>
  </si>
  <si>
    <t xml:space="preserve">Chile </t>
  </si>
  <si>
    <t xml:space="preserve">Colombia </t>
  </si>
  <si>
    <t xml:space="preserve">Comoros </t>
  </si>
  <si>
    <t xml:space="preserve">Costa Rica </t>
  </si>
  <si>
    <t xml:space="preserve">Croatia </t>
  </si>
  <si>
    <t xml:space="preserve">Cyprus </t>
  </si>
  <si>
    <t xml:space="preserve">Czech Republic </t>
  </si>
  <si>
    <t xml:space="preserve">Denmark </t>
  </si>
  <si>
    <t xml:space="preserve">Dominican Republic </t>
  </si>
  <si>
    <t xml:space="preserve">East Timor </t>
  </si>
  <si>
    <t xml:space="preserve">El Salvador </t>
  </si>
  <si>
    <t xml:space="preserve">Estonia </t>
  </si>
  <si>
    <t xml:space="preserve">Finland </t>
  </si>
  <si>
    <t xml:space="preserve">France </t>
  </si>
  <si>
    <t xml:space="preserve">Georgia </t>
  </si>
  <si>
    <t xml:space="preserve">German Federal Republic </t>
  </si>
  <si>
    <t xml:space="preserve">Ghana </t>
  </si>
  <si>
    <t xml:space="preserve">Greece </t>
  </si>
  <si>
    <t xml:space="preserve">Guatemala </t>
  </si>
  <si>
    <t xml:space="preserve">Guyana </t>
  </si>
  <si>
    <t xml:space="preserve">Honduras </t>
  </si>
  <si>
    <t xml:space="preserve">Hungary </t>
  </si>
  <si>
    <t xml:space="preserve">Iceland </t>
  </si>
  <si>
    <t xml:space="preserve">India </t>
  </si>
  <si>
    <t xml:space="preserve">Indonesia </t>
  </si>
  <si>
    <t xml:space="preserve">Ireland </t>
  </si>
  <si>
    <t xml:space="preserve">Italy/Sardinia </t>
  </si>
  <si>
    <t xml:space="preserve">Jamaica </t>
  </si>
  <si>
    <t xml:space="preserve">Japan </t>
  </si>
  <si>
    <t xml:space="preserve">Kenya </t>
  </si>
  <si>
    <t xml:space="preserve">Korea, Republic Of </t>
  </si>
  <si>
    <t xml:space="preserve">Kyrgyz Republic </t>
  </si>
  <si>
    <t xml:space="preserve">Latvia </t>
  </si>
  <si>
    <t xml:space="preserve">Lebanon </t>
  </si>
  <si>
    <t xml:space="preserve">Lesotho </t>
  </si>
  <si>
    <t xml:space="preserve">Liberia </t>
  </si>
  <si>
    <t xml:space="preserve">Lithuania </t>
  </si>
  <si>
    <t xml:space="preserve">Luxembourg </t>
  </si>
  <si>
    <t xml:space="preserve">Macedonia (Former Yugoslav Republic Of) </t>
  </si>
  <si>
    <t xml:space="preserve">Malawi </t>
  </si>
  <si>
    <t xml:space="preserve">Malaysia </t>
  </si>
  <si>
    <t xml:space="preserve">Mauritius </t>
  </si>
  <si>
    <t xml:space="preserve">Mexico </t>
  </si>
  <si>
    <t xml:space="preserve">Moldova </t>
  </si>
  <si>
    <t xml:space="preserve">Mongolia </t>
  </si>
  <si>
    <t xml:space="preserve">Montenegro </t>
  </si>
  <si>
    <t xml:space="preserve">Namibia </t>
  </si>
  <si>
    <t xml:space="preserve">Nepal </t>
  </si>
  <si>
    <t xml:space="preserve">Netherlands </t>
  </si>
  <si>
    <t xml:space="preserve">New Zealand </t>
  </si>
  <si>
    <t xml:space="preserve">Nicaragua </t>
  </si>
  <si>
    <t xml:space="preserve">Niger </t>
  </si>
  <si>
    <t xml:space="preserve">Norway </t>
  </si>
  <si>
    <t xml:space="preserve">Pakistan </t>
  </si>
  <si>
    <t xml:space="preserve">Panama </t>
  </si>
  <si>
    <t xml:space="preserve">Paraguay </t>
  </si>
  <si>
    <t xml:space="preserve">Peru </t>
  </si>
  <si>
    <t xml:space="preserve">Philippines </t>
  </si>
  <si>
    <t xml:space="preserve">Poland </t>
  </si>
  <si>
    <t xml:space="preserve">Portugal </t>
  </si>
  <si>
    <t xml:space="preserve">Romania </t>
  </si>
  <si>
    <t xml:space="preserve">Senegal </t>
  </si>
  <si>
    <t xml:space="preserve">Sierra Leone </t>
  </si>
  <si>
    <t xml:space="preserve">Slovakia </t>
  </si>
  <si>
    <t xml:space="preserve">Slovenia </t>
  </si>
  <si>
    <t xml:space="preserve">Solomon Islands </t>
  </si>
  <si>
    <t xml:space="preserve">South Africa </t>
  </si>
  <si>
    <t xml:space="preserve">Spain </t>
  </si>
  <si>
    <t xml:space="preserve">Sweden </t>
  </si>
  <si>
    <t xml:space="preserve">Switzerland </t>
  </si>
  <si>
    <t xml:space="preserve">Taiwan </t>
  </si>
  <si>
    <t xml:space="preserve">Thailand </t>
  </si>
  <si>
    <t xml:space="preserve">Trinidad And Tobago </t>
  </si>
  <si>
    <t xml:space="preserve">Turkey/Ottoman Empire </t>
  </si>
  <si>
    <t xml:space="preserve">Ukraine </t>
  </si>
  <si>
    <t xml:space="preserve">Uruguay </t>
  </si>
  <si>
    <t xml:space="preserve">Yugoslavia (Serbia) </t>
  </si>
  <si>
    <t xml:space="preserve">Zambia </t>
  </si>
  <si>
    <t>president, deputies (ten), court of constitutionality, people (5k)</t>
  </si>
  <si>
    <t>president, deputies (ten), court of constitutionality, people (5k) propose amendments. Need 2/3 of deputies to convoke a national constituent assembly for amendment of amendment procedure or Ch 1 title 2 and members must be elected. For normal amendments, need 2/3 of total number of deputies, ratified through referendum (art 173).  Some articles may not be amended (see art 281).</t>
  </si>
  <si>
    <t>PART 1CHAPTER VIPOWERS AND PROCEDURE OF PARLIAMENT66ALTERNATION OF THIS CONSTITUTION.
Subject to the special procedure set out in article 164, Parliament may alter this Constitution. 164. PROCEDURE FOR ALTERING THIS CONSTITUTION.
1. Subject to the provisions of paragraphs (2) and (3), a Bill for an Act of Parliament to alter this Constitution shall not be passed by the National Assembly unless it is supported at the final voting in the Assembly by the votes of a majority of all the elected members of the Assembly.
2. A Bill to alter any of the following provisions of this Constitution, that is to say--
a.this article, articles 1, 2, 8, 9, 18, 51, 66, 89, 99 and 111; and
b.articles 3, 4, 5, 6 and 7, 10 to 17 (inclusive), 19 to 49 (inclusive), 52 to 57 (inclusive), 59, 60, 62, 63, 64, 65, 67, 68, 69, 70, 72 (in so far as it relates to the number of regions), 90 to 96 (inclusive), 98, 108, 110, 116, 120 to 163 (inclusive, but excepting article 132), 168 to 215 (inclusive, but excepting articles 173, 185, 186, 192 (2) and (3) and 193), 222, 223, 225, 226, 231 and 232 (excepting the definition of "financial year"),
shall not be submitted to the President for his assent unless the Bill, not less than two and not more than six months after its passage through the National Assembly, has, in such manner as Parliament may prescribed, been submitted to vote of the electors qualified to vote in an election and has been approved by a majority of the electors who vote on the Bill:
Provided that if the Bill does not alter any of the provisions mentioned in subparagraph (a) and is supported at the final voting in the Assembly by the votes of not less than two thirds of all the elected members of the Assembly it shall not be necessary to submit the Bill to the vote of the electors.
3. In this article--
a.references to this Constitution or to any particular provision thereof include references to any other law in so far as that law alters the Constitution or, as the case may be, that provision; and
b.references to altering this Constitution or any particular provision thereof include references to repealing it, with or without re-enactment thereof or the making of different provision in lieu thereof, to modifying it and to suspending its operation for any period.</t>
  </si>
  <si>
    <t>66,  164</t>
  </si>
  <si>
    <t>Simple: need majority + ref OR 2/3 (no ref). However, can only do 2/3 over majority in certain instances--if amendmding amendment procedures, for example, it sounds as though you will still need referendum.</t>
  </si>
  <si>
    <t>majority of members</t>
  </si>
  <si>
    <t xml:space="preserve">epsilon for time on ref,  </t>
  </si>
  <si>
    <t>yes (majority of voters, no quorum) unless 2/3 maj (see info for more detail)</t>
  </si>
  <si>
    <t>Notes/Qs</t>
  </si>
  <si>
    <t>"subsequent regular annual session" meaning next meeting or next congress???</t>
  </si>
  <si>
    <t>cannot veto amendment</t>
  </si>
  <si>
    <t>no unless initiated by people, 51% of people who voted in last election to approve &amp; approval by majority</t>
  </si>
  <si>
    <t>REF: citizens (2%), deputies (10), president (by resolution of the Council of the Secretaries of State)</t>
  </si>
  <si>
    <t xml:space="preserve">Can amend through congress or referendum. If congress, need 2/3. If referendum, need approval by majority and number of votes to be at least 51% of votes in last general election. Some articles unamendable. </t>
  </si>
  <si>
    <t>5, 218, 373, 374</t>
  </si>
  <si>
    <t>president, government, parliamentary committee or member of national assembly</t>
  </si>
  <si>
    <t>no (explicitly)</t>
  </si>
  <si>
    <t>two epsilons or 1: president signs w/in 5 days</t>
  </si>
  <si>
    <t>Need majority (assumed, not specified) to pass an amendment, followed by an election and a second passge.</t>
  </si>
  <si>
    <t xml:space="preserve">majority </t>
  </si>
  <si>
    <t>only if amendment on topic of church</t>
  </si>
  <si>
    <t>confirms</t>
  </si>
  <si>
    <t>majority (2/3 present and voting)</t>
  </si>
  <si>
    <t>if on certain topics (majority)</t>
  </si>
  <si>
    <t>Parliament amends,(non-elected) president gives assent and (for certain topics) states approve. Need majority approval with 2/3 of members present and voting in both houses.</t>
  </si>
  <si>
    <t xml:space="preserve">Some topics unamendable. Need majority with 2/3 present with initiation by 1/3 of membership. </t>
  </si>
  <si>
    <t>majority (abs)</t>
  </si>
  <si>
    <t>abs majority</t>
  </si>
  <si>
    <t>Dail Eireann (lower house)</t>
  </si>
  <si>
    <t>yes: majority</t>
  </si>
  <si>
    <t>Need to pass (majority?) in both houses. Amendments can only be initiated by lower house. Referendum (majority) to approve. President signs and promulgates</t>
  </si>
  <si>
    <t>0.5 +e(2/3 members present)+ e(two chambers)</t>
  </si>
  <si>
    <t>0.51+ e(two chambers) + e(two debates) + e(time: 3 months between debates) + 0.5(ref) - e(alt route: 2/3, no ref)</t>
  </si>
  <si>
    <t>yes (unless 2/3 maj): majority</t>
  </si>
  <si>
    <t xml:space="preserve">Need two rounds of debates within each house and referendum, unless passage is by 2/3 (instead of absolute majority) in each house. </t>
  </si>
  <si>
    <t>no (ccp wrong)</t>
  </si>
  <si>
    <t>Simple: 2/3 majority + ref (majority)</t>
  </si>
  <si>
    <t>not specified</t>
  </si>
  <si>
    <t>94.3, 255, 256, 257</t>
  </si>
  <si>
    <t>CHAPTER 8PART 1943
3. Parliament may consider and pass amendments to this Constitution, and alter county boundaries as provided for in this Constitution.
Report error
CHAPTER 16255AMENDMENT OF THIS CONSTITUTION
1. A proposed amendment to this Constitution shall be enacted in accordance with Article 256 or 257, and approved in accordance with clause (2) by a referendum, if the amendment relates to any of the following matters-
a..the supremacy of this Constitution;
b..the territory of Kenya;
c..the sovereignty of the people;
d..the national values and principles of governance mentioned in Article 10 (2) (a) to (d);
e..the Bill of Rights;
f..the term of office of the President;
g..the independence of the Judiciary and the commissions and independent offices to which Chapter Fifteen applies;
h..the functions of Parliament;
i..the objects, principles and structure of devolved government; or
j..the provisions of this Chapter.
2. A proposed amendment shall be approved by a referendum under clause (1) if-
a..at least twenty per cent of the registered voters in each of at least half of the counties vote in the referendum; and
b..the amendment is supported by a simple majority of the citizens voting in the referendum.
3. An amendment to this Constitution that does not relate to a matter mentioned in clause (1) shall be enacted either-
a..by Parliament, in accordance with Article 256; or
b..by the people and Parliament, in accordance with Article 257.
Report error
CHAPTER 16256AMENDMENT BY PARLIAMENTARY INITIATIVE
1. A Bill to amend this Constitution-
a..may be introduced in either House of Parliament;
b..may not address any other matter apart from consequential amendments to legislation arising from the Bill;
c..shall not be called for second reading in either House within ninety days after the first reading of the Bill in that House; and
d..shall have been passed by Parliament when each House of Parliament has passed the Bill, in both its second and third readings, by not less than two-thirds of all the members of that House.
2. Parliament shall publicise any Bill to amend this Constitution, and facilitate public discussion about the Bill.
3. After Parliament passes a Bill to amend this Constitution, the Speakers of the two Houses of Parliament shall jointly submit to the President-
a..the Bill, for assent and publication; and
b..a certificate that the Bill has been passed by Parliament in accordance with this Article.
4. Subject to clause (5), the President shall assent to the Bill and cause it to be published within thirty days after the Bill is enacted by Parliament.
5. If a Bill to amend this Constitution proposes an amendment relating to a matter mentioned in Article 255 (1)-
a..the President shall, before assenting to the Bill, request the Independent Electoral and Boundaries Commission to conduct, within ninety days, a national referendum for approval of the Bill; and
b..within thirty days after the chairperson of the Independent Electoral and Boundaries Commission has certified to the President that the Bill has been approved in accordance with Article 255 (2), the President shall assent to the Bill and cause it to be published.
Report error
CHAPTER 16257AMENDMENT BY POPULAR INITIATIVE
1. An amendment to this Constitution may be proposed by a popular initiative signed by at least one million registered voters.
2. A popular initiative for an amendment to this Constitution may be in the form of a general suggestion or a formulated draft Bill.
3. If a popular initiative is in the form of a general suggestion, the promoters of that popular initiative shall formulate it into a draft Bill.
4. The promoters of a popular initiative shall deliver the draft Bill and the supporting signatures to the Independent Electoral and Boundaries Commission, which shall verify that the initiative is supported by at least one million registered voters.
5. If the Independent Electoral and Boundaries Commission is satisfied that the initiative meets the requirements of this Article, the Commission shall submit the draft Bill to each county assembly for consideration within three months after the date it was submitted by the Commission.
6. If a county assembly approves the draft Bill within three months after the date it was submitted by the Commission, the speaker of the county assembly shall deliver a copy of the draft Bill jointly to the Speakers of the two Houses of Parliament, with a certificate that the county assembly has approved it.
7. If a draft Bill has been approved by a majority of the county assemblies, it shall be introduced in Parliament without delay.
8. A Bill under this Article is passed by Parliament if supported by a majority of the members of each House.
9. If Parliament passes the Bill, it shall be submitted to the President for assent in accordance with Articles 256 (4) and (5).
10. If either House of Parliament fails to pass the Bill, or the Bill relates to a matter mentioned in 255 (1), the proposed amendment shall be submitted to the people in a referendum.
11. Article 255 (2) applies, with any necessary modifications, to a referendum under clause (10).</t>
  </si>
  <si>
    <t xml:space="preserve">assent </t>
  </si>
  <si>
    <t>yes (some topics): simple majority with 20% turnout in 50% of counties</t>
  </si>
  <si>
    <t>only if initiative through people</t>
  </si>
  <si>
    <t>Can amend through popular initiative or parliament. If parliament, need 2/3 in both houses over three readings, presidential assent, certificate, and (depending on subject matter), referendum (majority of people, 20% turnout, majority of counties). If popular initiative, need approval of people, counties, president, parliament (majority).</t>
  </si>
  <si>
    <t>no (no ccp data)</t>
  </si>
  <si>
    <t>89, 128-130</t>
  </si>
  <si>
    <t>CHAPTER IVPART 2SECTION 2ARTICLE 89
The following matters shall be referred to the State Council for deliberation:
[…] 
3..Draft amendments to the Constitution, proposals for national referendums, proposed treaties, legislative bills, and proposed presidential decrees;
Report error
CHAPTER XAMENDMENTS TO THE CONSTITUTION
CHAPTER XARTICLE 128
1. A proposal to amend the Constitution shall be introduced either by a majority of the total members of the National Assembly or by the President.
2. Amendments to the Constitution for the extension of the term of office of the President or for a change allowing for the reelection of the President shall not be effective for the President in office at the time of the proposal for such amendments to the Constitution.
CHAPTER XARTICLE 129
Proposed amendments to the Constitution shall be put before the public by the President for twenty days or more.
CHAPTER XARTICLE 130
1. The National Assembly shall decide upon the proposed amendments within sixty days of the public announcement, and passage by the National Assembly shall require the concurrent vote of two thirds of the total members of the National Assembly.
2. The proposed amendments to the Constitution shall be submitted to a national referendum not later than thirty days after passage by the National Assembly, and shall be determined by more than one half of all votes cast by more than one half of voters eligible to vote in elections for members of the National Assembly.
3. When the proposed amendments to the Constitution receive the concurrence prescribed in Paragraph (2), the amendments to the Constitution shall be finalized, and the President shall promulgate it without delay.</t>
  </si>
  <si>
    <t>members (50%) or president</t>
  </si>
  <si>
    <t>yes: majority + 50% turnout</t>
  </si>
  <si>
    <t>promulgates</t>
  </si>
  <si>
    <t>Need half of members to propose amendment (or president) and 2/3 of members to approve. Ratified with referendum with majority approval and 50% turnout. If amendments are on term of office for President, the change comes effective after the current term. Refer draft amendments to state council (per art 89) for deliberation.</t>
  </si>
  <si>
    <t>SECTION IVCHAPTER IIARTICLE 742
2. The Jogorku Kenesh:
1..shall introduce changes to the present Constitution;
Report error
SECTION VIARTICLE 976
6. The Constitutional Chamber of the Supreme Court:
[…] 
3..shall conclude on the draft law on changes to the present Constitution.
Report error
SECTION IXARTICLE 114
1. A law introducing changes to the Constitution may be adopted by referendum called by the Jogorku Kenesh.
2. Changes to the provisions of sections three, four, five, six, seven and eight of the present Constitution must be adopted by the Jogorku Kenesh upon proposal of the majority of the total number of deputies or at the initiative of not less than 300,000 voters.
3. The Jogorku Kenesh shall adopt a law introducing changes to the Constitution not later than 6 months after it was submitted for consideration to the Jogorku Kenesh.
A law introducing changes to the Constitution shall be passed by a majority of not less than two thirds of the total number of deputies of the Jogorku Kenesh after a minimum of three readings of the bill, with an interval of two months between them.
At the initiative of not less than two thirds of the total number of the deputies of the Jogorku Kenesh a law introducing changes to the Constitution may be submitted to a referendum.
4. The adoption of a law introducing changes to the Constitution shall be prohibited during a state of emergency or a state of martial law.
5. The adopted constitutional amendments shall be submitted to the President for signature.</t>
  </si>
  <si>
    <t>74.2, 97.6, 114</t>
  </si>
  <si>
    <t>NOT ANYMORE (2005)</t>
  </si>
  <si>
    <t>yes (maj not specified) if 2/3 of members vote yes</t>
  </si>
  <si>
    <t>Some changes must be made through majority of parl members or referendum (300k). Need 2/3 approval with 3 readings, each 2 months apart. Can (but not necessary?) submit to referendum if 2/3 approve. Constitutional chamber of the supreme court 'concludes on the draft law on changes to the present constitution.'</t>
  </si>
  <si>
    <t>2/3 of members (2/3 present)</t>
  </si>
  <si>
    <t>signs</t>
  </si>
  <si>
    <t>2/3 of members present</t>
  </si>
  <si>
    <t>2/3 + e(2/3 present) + e(3 readings)</t>
  </si>
  <si>
    <t xml:space="preserve">Need 2/3 of members with 2/3 present to approve an amendment in 3 readings. Some topics (see art 77) need referendum. Through referendum, need half the electorate to support. Can also amend through people's initiatitive (10%). If parl does not pass unamended, it will go to a national referendum. </t>
  </si>
  <si>
    <t>Yes, some topics. Yes if popular initiative that is not adopted without amendment by parl. Need majority of electorate to pass.</t>
  </si>
  <si>
    <t>65, 76-79</t>
  </si>
  <si>
    <t>PART IICHAPTER FOURTHIRDARTICLE 65
The basic issues need the consent of two-thirds of the Government members, as specified in the decree of its formation. The following are basic issues: Amending the Constitution, declaring and canceling the state of emergency, war and peace, public mobilization, international accords and treaties, state budget, overall development plans, and long term, appointing employees of the first cadre and its equivalent, reconsidering the redistricting, dissolving the Chamber of Deputies, elections law, nationality law, personal affairs laws, dismissing the Ministers.
Report error
PART IIIBAMENDMENT OF THE CONSTITUTION
PART IIIBARTICLE 76
The Constitution may be revised based upon an initiative by the President of the Republic, and so, the Government introduces a bill to the Chamber of Deputies.
PART IIIBARTICLE 77
The Constitution, also, may be revised based upon the initiative of the Chamber of Deputies. In this case, the process is as follows:
In the course of an ordinary session, the Chamber of Deputies has the right, based upon the initiative of at least ten of its members, to introduce a proposal to revise the Constitution by a two-thirds majority of all the members legally constituting the Chamber.
However, the matters and issues included in the proposal must be clearly defined and enumerated. The President of the Chamber, then, communicates this proposal to the Government, requesting that it drafts a bill for this purpose. If the Government approves the proposal of the Chamber by a two-thirds majority, it must prepare a draft law, and introduce it to the Chamber within four months. If it does not approve, it must return the decision to the Chamber for a further study. If the Chamber insists on it by a three-fourths majority of all the members constituting the Chamber legally, then the President of the Republic may either respond to the wish of the Chamber, or may ask the Council of Ministers to dissolve it and conduct new elections within three months. If the new Chamber insists upon the necessity of the amendment, then the Government must acquiesce and introduce the amendment proposal in the period of four months.
Report error
PART IIICARTICLE 78
If an amendment proposal of the Constitution is introduced to the Chamber, it must confine to the debate, until it is voted upon before any other action. However, it cannot debate or vote except on matters and issues specifically and clearly determined in the proposal which had been introduced to it.
Report error
PART IIICARTICLE 79
When an amendment proposal of the Constitution is introduced to the Chamber, it cannot discuss it or vote upon it, unless a two-thirds majority of the members legally constituting the Chamber are present. Voting must be in the same majority.
The President of the Republic must promulgate the Law relating to the Constitutional amendment in the same manner and conditions required for the promulgation and publication of the ordinary laws. He has the right to ask the Chamber to reconsider the proposal another time, during the time limit for the promulgation, and after notifying the Council of Ministers. Voting upon it is, also, by a two-thirds majority.</t>
  </si>
  <si>
    <t>president (through government), chamber of deputies (10 members)</t>
  </si>
  <si>
    <t>2 (parl + gov)</t>
  </si>
  <si>
    <t>HOW TO FACTOR IN GOVERNMENT APPROVAL???</t>
  </si>
  <si>
    <t xml:space="preserve">Need 2/3 of members to approve amendment. Government or deputies can initiate, but deupty initiative requires that government drafts an amendment bill after approving the proposal by 2/3. The draft must be introducted within 4 months. If the government does not approve, it can return the bill to the chamber for consideration. However, the chamber an insits with a 3/4 majority and the president can 'respond to the wish of the chamber' or ask the council of ministers to dissovle the chamber and conduct new elections within 3 months. If the newly elected chamber insists on the amendment the government must introduce the amendment within 4 months. </t>
  </si>
  <si>
    <t>role of president?</t>
  </si>
  <si>
    <t>yes (unless 2/3 approval): majority of electors voting (no quota specified)</t>
  </si>
  <si>
    <t>0.5 + 0.5(ref) + e(time: limit for holding ref)+ e(two chambers)-e(alt: 2/3)</t>
  </si>
  <si>
    <t xml:space="preserve">need majority in both houses (majority not explicitly specified for senate) and referendum OR 2/3 majority in both houses. For referendum, need majority and for referendum to be held between 2 or 6 months. </t>
  </si>
  <si>
    <t>both houses (2/3) or people (10k + concurence of 2/3 of houses)</t>
  </si>
  <si>
    <t>yes: 2/3 of registered voters</t>
  </si>
  <si>
    <t>2/3 people</t>
  </si>
  <si>
    <t xml:space="preserve">Need 2/3 in both houses (unclear if joint?) and referendum (also 2/3). Cannot suspend constitution using emergency powers. Amendments to presidential term lengths apply after the current president leaves office. </t>
  </si>
  <si>
    <t>67, 147, 148, 149</t>
  </si>
  <si>
    <t>CHAPTER VARTICLE 67
The Seimas:
1..shall consider and adopt amendments to the Constitution;
Report error
CHAPTER XIVALTERATION OF THE CONSTITUTION
CHAPTER XIVARTICLE 147
A motion to alter or supplement the Constitution of the Republic of Lithuania may be submitted to the Seimas by a group of not less than 1/4 [one-fourth] of all the Members of the Seimas or not less than by 300,000 voters.
During a state of emergency or martial law, the Constitution may not be amended.
CHAPTER XIVARTICLE 148
The provision of Article 1 of the Constitution “the State of Lithuania shall be an independent democratic republic” may only be altered by referendum if not less than 3/4 [three-fourths] of the citizens of Lithuania with the electoral right vote in favor thereof.
The provisions of the First Chapter “The State of Lithuania” and the Fourteenth Chapter “Alteration of the Constitution” may be altered only by referendum.
Amendments of the Constitution concerning other chapters of the Constitution must be considered and voted at the Seimas twice. There must be a break of not less than three months between the votes. A draft law on the alteration of the Constitution shall be deemed adopted by the Seimas if, during each of the votes, not less than 2/3 [two-thirds] of all the Members of the Seimas vote in favor thereof.
An amendment of the Constitution which has not been adopted may be submitted to the Seimas for reconsideration not earlier than after one year.
CHAPTER XIVARTICLE 149
The President of the Republic shall sign the adopted law on the alteration of the Constitution and officially promulgate it within five days.
If the President of the Republic does not sign and promulgate such a law within the specified time, this law shall come into force when the Speaker of the Seimas signs and promulgates it.
The law on the alteration of the Constitution shall come into force not earlier than one month after its adoption.</t>
  </si>
  <si>
    <t>no but some topics can only be amended by ref (see note)</t>
  </si>
  <si>
    <t>Need 2/3 approval by members over 2 votes with a break of at least 3 months between the votes.. No amendment during state of emergency.Some portions only altered by referendum (art 1 (need 3/4 of electors) and ch 1 &amp; ch 14).</t>
  </si>
  <si>
    <t>can substitute referendum for second round of votes (need majority, turnout not specified)</t>
  </si>
  <si>
    <t>second house majority (second time) [only for new chamber]</t>
  </si>
  <si>
    <t>SUBTRACT EPSILON IF CAN SUBSTITUTE SECOND ROUND OF VOTING (SAME BODY, NO NEW ELECTION) WITH REFERENDUM?</t>
  </si>
  <si>
    <t>Need 2/3 of members over two rounds with at least 3 months between the votes. Can substitute a referendum for second round of voting 2 months after first vote if so requested by either 25% of chamber or 25k voters. If a referendum occurs, need majority support to pass.</t>
  </si>
  <si>
    <t>president, government, 30 representatives, 150k people</t>
  </si>
  <si>
    <t xml:space="preserve">Need 2/3 majority to initiate change, majority to confirm, followed by a "public debate". To change the constittuion requires 2/3 vote and the change is declared by the assembly. Unclear why this second phrasing is included in the text (redundant or specifiying a different type of change?). Coded 'public debate' as referendum. For cetain topics(see amendment 18), need 2/3 majority which must contain a majority of the votes of the total number of representatives who belong to the communities not in the majority in the population of macedonia. </t>
  </si>
  <si>
    <r>
      <t xml:space="preserve">ARTICLE 129
The Constitution of the Republic of Macedonia can be changed or supplemented by constitutional amendments.
ARTICLE 130
A proposal to initiate a change in the Constitution in the Republic of Macedonia may be made by the President of the Republic, by the Government, by at least 30 Representatives, or by 150,000 citizens.
ARTICLE 131
The decision to initiate a change in the Constitution is made by the Assembly by a two-thirds majority vote of the total number of Representatives. The draft amendment to the Constitution is confirmed by the Assembly by a majority vote of the total number of Representatives and then submitted to public debate. The decision to change the Constitution is made by the Assembly by a two-thirds majority vote of the total number of Representatives. The change in the Constitution is declared by the Assembly. </t>
    </r>
    <r>
      <rPr>
        <b/>
        <sz val="12"/>
        <color theme="1"/>
        <rFont val="맑은 고딕"/>
        <family val="2"/>
        <scheme val="minor"/>
      </rPr>
      <t>AMENDMENT XVIII</t>
    </r>
    <r>
      <rPr>
        <sz val="12"/>
        <color theme="1"/>
        <rFont val="맑은 고딕"/>
        <family val="2"/>
        <scheme val="minor"/>
      </rPr>
      <t xml:space="preserve">
1. A decision to amend the Preamble, the articles on local self-government, Article 131, any provision relating to the rights of members of communities, including in particular Articles 7, 8, 9, 19, 48, 56, 69, 77, 78, 86, 104 and 109, as well as a decision to add any new provision relating to the subject-matter of such provisions and articles, shall require a two-thirds majority vote of the total number of Representatives, within which there must be a majority of the votes of the total number of Representatives who belong to the communities not in the majority in the population of Macedonia.
2. With this amendment a new paragraph is added to paragraph 4 of Article 131 of the Constitution of the Republic of Macedonia.</t>
    </r>
  </si>
  <si>
    <t>129-131, amend 18</t>
  </si>
  <si>
    <t>195-197, schedule</t>
  </si>
  <si>
    <r>
      <t xml:space="preserve">195. POWER TO AMEND
Parliament may amend this Constitution in accordance with this Chapter.
196. RESTRICTIONS ON AMENDMENTS
1. Subject to this section, Parliament may amend this Chapter and the sections of this Constitution listed in the Schedule only if—
a.the provision to be amended and the proposed amended to it have been put to a referendum of the people of Malawi and the majority of those voting have voted for the amendment; and
b.the Electoral Commission has so certified to the Speaker.
2. The Parliament may pass a Bill proposing an amendment to which the conditions set out in subsection (1) have been satisfied by a simple majority.
3. Notwithstanding subsection (1), Parliament may pass a Bill containing an amendment to the provisions referred to in that subsection without a referendum where—
a.the amendment would not affect the substance of the effect of the Constitution;
b.the Speaker has so certified; and
c.the Bill is supported by a majority of at least two-thirds of the total number of members of the National Assembly entitled to vote.
197. AMENDMENTS BY PARLIAMENT
Subject to section 196, Parliament may amend those Chapters and sections of this Constitution not listed in the Schedule only if the Bill proposing the amendment is supported by at least two-thirds of the total number of members of the National Assembly entitled to vote. 
</t>
    </r>
    <r>
      <rPr>
        <b/>
        <sz val="12"/>
        <color theme="1"/>
        <rFont val="맑은 고딕"/>
        <family val="2"/>
        <scheme val="minor"/>
      </rPr>
      <t>SCHEDULE</t>
    </r>
    <r>
      <rPr>
        <sz val="12"/>
        <color theme="1"/>
        <rFont val="맑은 고딕"/>
        <family val="2"/>
        <scheme val="minor"/>
      </rPr>
      <t xml:space="preserve">
Those Chapters of this Constitution, and the sections in those Chapters, listed under this Schedule and the entirety of this Schedule shall not be amended except in accordance with section 196.
CHAPTER I—THE REPUBLIC OF MALAWI
1. Malawi a sovereign State
2. National flag, etc.
3. National territory
4. Protection of the people of Malawi under this Constitution
5. Supremacy of this Constitution
6. Universal and equal suffrage
7. The separate status, function and duty of the executive
q8. The separate status, function and duty of the legislature
9. The separate status, function and duty of the judiciary
CHAPTER II—APPLICATION AND INTERPRETATION
10. Application of this Constitution
11. Interpretation
CHAPTER III—FUNDAMENTAL PRINCIPLES
12. Constitutional principles
13. Principles of national policy
CHAPTER IV—HUMAN RIGHTS
15. Protection of human rights and freedoms
16. The right to life
17. Genocide
18. Liberty
19. Human dignity and personal freedoms
20. Equality
21. Privacy
22. Family and marriage
23. Rights of children
24. Rights of women
25. Education
26. Culture and language
27. Slavery, servitude and forced labour
28. Property
29. Economic activity
30. The right to development
31. Labour
32. Freedom of association
33. Freedom of conscience
34. Freedom of opinion
35. Freedom of expression
36. Freedom of the press
37. Access to information
38. Freedom of assembly
39. Freedom of movement and residence
40. Political rights
41. Access to justice and legal remedies
42. Arrest, detention and fair trial
43. Administrative justice
44. Limitations on rights
45. Derogation and public emergency
46. Enforcement
CHAPTER V—CITIZENSHIP
47. Citizenship
CHAPTER VII—ELECTIONS
77. The franchise
CHAPTER IX—THE JUDICATURE
103. The independence and jurisdiction of the courts and the judiciary
111. Appointment of the judiciary
114. Remuneration
119. Tenure of judges</t>
    </r>
  </si>
  <si>
    <t>only some topics (see schedule): majority</t>
  </si>
  <si>
    <t>what is value for approval of amendment? (legislature vote value)</t>
  </si>
  <si>
    <t xml:space="preserve">If not on special topics, need only 2/3 of members to amend. If on special topics (see Schedule), need either (simple)  majority + referendum (majority) + certification OR 2/3 + certification (but only if 'the amendment would not affect the substance of the effect of the Constitution'). </t>
  </si>
  <si>
    <t>no (ccp wrong?)</t>
  </si>
  <si>
    <t>Coded most basic amendments --DOUBLE CHECK CODING PLEASE. IS IT MAJORITY + REF OR JUST 2/3?</t>
  </si>
  <si>
    <t>Comoros</t>
  </si>
  <si>
    <t>Italy/Sardinia</t>
  </si>
  <si>
    <t>Malaysia</t>
  </si>
  <si>
    <t>Pakistan</t>
  </si>
  <si>
    <t>Thailand</t>
  </si>
  <si>
    <t>German Federal Republic</t>
  </si>
  <si>
    <t>Kyrgyz Republic</t>
  </si>
  <si>
    <t>Turkey/Ottoman Empire</t>
  </si>
  <si>
    <t>Macedonia (Former Yugoslav Republic Of)</t>
  </si>
  <si>
    <t xml:space="preserve">159, 161e, </t>
  </si>
  <si>
    <t>PART XII159AMENDMENT OF THE CONSTITUTION
1. Subject to the following provisions of this Article and to Article 161E the provisions of this Constitution may be amended by federal law.
2. (Repealed).
3. A Bill for making any amendment to the Constitution (other than an amendment except from the provisions of this Clause) and a Bill for making any amendment to a law passed under Clause (4) of Article 10 shall not be passed in either House of Parliament unless it has been supported on Second and Third Readings by the votes of not less than two-thirds of the total number of members of that House.
4. The following amendments are excepted from the provisions of Clause (3), that is to say:
a..any amendment to Part III of the Second or to the Sixth or Seventh Schedule;
b..any amendment incidental to or consequential on the exercise of any power to make law conferred on Parliament by any provision of this Constitution other than Articles 74 and 76;
bb..subject to Article 161E any amendment made for or in connection with the admission of any State to the Federation or its association with the States thereof, or any modification made as to the application of this Constitution to a State previously so admitted or associated;
c..any amendment consequential on an amendment made under paragraph (a).
5. A law making an amendment to Clause (4) of Article 10, any law passed thereunder, the provisions of Part III, Articles 38, 63 (4), 70, 71 (1), 72 (4), 152, or 153 or to this Clause shall not be passed without the consent of the Conference of Rulers.
6. In this Article “amendment” includes addition and repeal; and in this Article and in Article 2 (a) “State” includes any territory.
Report error
PART XIIA161ESAFEGUARDS FOR CONSTITUTIONAL POSITION OF STATES OF SABAH AND SARAWAK
1. As from the passing of the Malaysia Act no amendment to the Constitution made in connection with the admission to the Federation of the State of Sabah or Sarawak shall be excepted from Clause (3) of Article 159 by Clause (4) (bb) of that Article; nor shall any modification made as to the application of the Constitution to the State of Sabah or Sarawak be so excepted unless the modification is such to equate or assimilate the position of that State under the Constitution to the position of the States of Malaya.
2. No amendment shall be made to the Constitution without the concurrence of the Yang di-Pertua Negeri of the State of Sabah or Sarawak or each of the States of Sabah and Sarawak concerned, if the amendment is such as to affect the operation of the Constitution as regards any of the following matters:
a..the right of persons born before Malaysia Day to citizenship by reason of a connection with the State, and (except to the extent that different provision is made by the Constitution as in force on Malaysia Day) the equal treatment, as regards their own citizenship and that of others, of persons born or resident in the State and of persons born or resident in the States of Malaya;
b..the constitution and jurisdiction of the High Court in Sabah and Sarawak and the appointment, removal and suspension of judges of that court;
c..the matters with respect to which the Legislature of the State may (or parliament may not) make laws, and the executive authority of the State in those matters, and (so far as related thereto) the financial arrangements between the Federation and the State;
d..religion in the State, the use in the State or in Parliament of any language and the special treatment of natives of the State;
e..the allocation to the State, in any Parliament summoned to meet before the end of August 1970, of a quota of members of the House of Representatives not less, in proportion to the total allocated to the other States which are members of the Federation on Malaysia Day, than the quota allocated to the State on that Day.
3. No amendment to the Constitution which affects its operation as regards the quota of members of the House of Representatives allocated to the State of Sabah or Sarawak shall be treated for purposes of Clause (1) as equating or assimilating the position of that State to the position of the States of Malaya.
4. In relation to any rights and powers conferred by federal law on the Government of the State of Sabah or Sarawak as regards entry into the State and residence in the State and matters connected therewith (whether or not the law is passed before Malaysia Day) Clause (2) shall apply, except in so far as the law provides to the contrary, as if the law had been embodied in the Constitution and those rights and powers had been included among the matters mentioned in paragraphs (a) to (e) of that Clause.
5. In this Article “amendment” includes addition and repeal.</t>
  </si>
  <si>
    <t>only in certain circumstances (see art 161e)</t>
  </si>
  <si>
    <t>Can amend constitution by federal law. Need 3 readings with 2/3 majority (reads as though 2/3 in both houses, though not explicitly stated). Some amendments require consultation with states' governors. The conference of rulers must consent to amendments to certain provisions (art 159.5)</t>
  </si>
  <si>
    <t>no (3)</t>
  </si>
  <si>
    <t>Basic amendments require 2/3 approval. Some topics require 3/4 approval (see 47.2).Amendments to method of amendment require referendum prior to approval with 3/4 approval by electorate and unanimous assent by assembly.</t>
  </si>
  <si>
    <t>only for certain topics</t>
  </si>
  <si>
    <t>legislature (majority not specified)</t>
  </si>
  <si>
    <t>legislature (25%) or people (300k)</t>
  </si>
  <si>
    <t>people (10%), legislature (implied)</t>
  </si>
  <si>
    <t>legislature (majority not specified) or popular initiative (for some topics)</t>
  </si>
  <si>
    <t>legislature (majority not specified) OR people (1 million)</t>
  </si>
  <si>
    <t>legislature (1/3 of members)</t>
  </si>
  <si>
    <t>King + legislature</t>
  </si>
  <si>
    <t>Need 2/3 of members (no quorum specified) and majority of states. No specification beyond this.</t>
  </si>
  <si>
    <t>3 (2 chambers + states)</t>
  </si>
  <si>
    <t>3/4</t>
  </si>
  <si>
    <t>ARTICLE 63. TERM OF OFFICE
1. The Parliament shall be elected for a 4-year term of office, which may be extended by an organic law, in the event of war or national calamity.
2. Parliament shall be convened in session upon the summons of the President of the Republic of Moldova within 30 days at the most from the election date.
3. The mandate of the Parliament shall be prolonged until the legal assembly of the newly elected structure. During this period no amendment may be brought to the Constitution, and no organic law may be adopted, amended or abrogated.
4. The draft laws or legislative initiatives inserted in the agenda of the previous Parliament shall be dealt upon by the new structure of the Parliament. 
TITLE VIARTICLE 141INITIATIVE FOR REVISING THE CONSTITUTION
1. A revision of the Constitution may be initiated by:
a..a number of at least 200,000 voting citizens of the Republic of Moldova. Citizens initiating the revision of the Constitution must cover at least a half of the territorial-administrative units of the second level, and in each of these units must be registered at least 20000 signatures in support of the said initiative;
b..a number of at least a third of the Parliament members;
c..the Government.
2. Constitutional law drafts shall be submitted to Parliament only alongside with the Constitutional Court advisory opinion adopted by a vote of at least 4 judges.
TITLE VIARTICLE 142LIMITS OF REVISION
1. The provisions regarding the sovereignty, independence and unity of the State, as well as those regarding the permanent neutrality of the State may be revised only by referendum based on a majority vote of the registered voting citizens.
2. No revision shall be performed, if it implies the infringement of fundamental rights and freedoms of citizens, or their guarantees.
3. The Constitution may not be revised under a state of national emergency, martial law or war.
TITLE VIARTICLE 143LAW ON THE CONSTITUTIONAL AMENDMENT
1. Parliament shall be entitled to pass a law on the amendment of Constitution following at least 6 months from the date of the corresponding initiative launch. The law shall be adopted by a vote of two-thirds of the Parliament members.
2. If, within a year from the date when the initiative on the amendment of Constitution was launched, the Parliament has not passed the appropriate constitutional law, the proposal shall be deemed null and void.</t>
  </si>
  <si>
    <t>63, 141-143</t>
  </si>
  <si>
    <t>people (200k + half territorial-admicistrative units represented + 20k signatures in support in said unit), members (1/3), government</t>
  </si>
  <si>
    <t>COUNT JUDGES' OPINION AS SEPARATE BODY?</t>
  </si>
  <si>
    <t xml:space="preserve">Need 2/3 of members to pass a law, 6 months after the initiative. Must pass within one year. No amendment between election and taking office of new parliament. Law drafts must be submitted to parliament only with the  constitutional court advisory opinion adopted by a vote of at least 4 judges. Some topics require referendum (unity of the state, e.g.), some amendments cannot be made (if infringes fundamental rights of citizens), and some times cannot amend (state of national emergency). </t>
  </si>
  <si>
    <t>1*</t>
  </si>
  <si>
    <t>president, legislature, government, citizens ( comments or proposals on draft laws through legislative initiators): majorities not specified</t>
  </si>
  <si>
    <t>only if supported by 2/3 of members</t>
  </si>
  <si>
    <t>if discussed twice without 3/4 members supporting, must wait to discuss again until after new elections; cannot amend in 6 months prior to elections</t>
  </si>
  <si>
    <t>Need 3/4 approval by members. If discussed twice without 3/4 members supporting, must wait to discuss again until after new elections; cannot amend in 6 months prior to elections. Can hold referendum if 2/3 of members wish to do so.</t>
  </si>
  <si>
    <t>president, government, members (25)</t>
  </si>
  <si>
    <t>if amendment not adopted, must wait 1 year from day of rejection</t>
  </si>
  <si>
    <t>Need 2/3 approval by members with two votes (initiation, draft approval, public hearing, act approval). Some topics require referendum (3/5 approval). No amendment during time of emergency.</t>
  </si>
  <si>
    <t>only for certain topics (3/5 approval by 'voters')</t>
  </si>
  <si>
    <t>TITLE VIIIARTICLE 42
The President of the Union and a minimum of one third of the Members of the Assembly of the Union shall both have the right to initiate amendments to the Constitution.
To be adopted, a Government or a Private Member’s Bill to amend the Constitution must be approved by two thirds of the total membership of the Assembly of the Union as well as by two thirds of the total membership of the Island Councils, or by referendum.
No amendment procedure shall be initiated or continued where the integrity of the national territory, the inviolability of its internationally recognized borders or the autonomy of its islands is placed in jeopardy.</t>
  </si>
  <si>
    <t>president, members (1/3)</t>
  </si>
  <si>
    <t xml:space="preserve">sometimes (can approve with island councils or ref). </t>
  </si>
  <si>
    <t>Need 2/3 approval by members and either approval by 2/3 of island councils OR referendum (assume majority?). Some amendments acnnot be made (endangering integrity of the national territory for example).</t>
  </si>
  <si>
    <t>2/3 (island councils)</t>
  </si>
  <si>
    <t>2 (leg + councils or ref)</t>
  </si>
  <si>
    <t xml:space="preserve">Need 2/3 of members to amend, with president signing within 5 days. Some topics unamendable. </t>
  </si>
  <si>
    <t xml:space="preserve">Need 2/3 members in legislature, each chamber. If fails to secure 2/3 in second chamber (but has 2/3 in first), can do referendum (need 2/3 also). Amendments must be designated as such. Some topics unamendable. </t>
  </si>
  <si>
    <t>legislature (implied)</t>
  </si>
  <si>
    <t>only if 2/3 not reached in second chamber</t>
  </si>
  <si>
    <t>legislature</t>
  </si>
  <si>
    <t>only certain topics (part 3): maj not specified</t>
  </si>
  <si>
    <t>Need 2/3 approval by members over three readings an dpublication in the gazette 30 days before the bill's first reading. Amendments to part three require a referendum (majority not specified).</t>
  </si>
  <si>
    <t>other</t>
  </si>
  <si>
    <t xml:space="preserve">no </t>
  </si>
  <si>
    <t>what about if there is no quorum requirement?</t>
  </si>
  <si>
    <t xml:space="preserve"> Is 2/3 higher than 2/3 + majority?</t>
  </si>
  <si>
    <t>Consider passage by whole assembly or each chamber?</t>
  </si>
  <si>
    <t xml:space="preserve"> Article on law making 163 is not much more helpful. Also, president not mentioned for approval and thus is not coded</t>
  </si>
  <si>
    <t>deputies (1/3), president, government, citizens (150k)</t>
  </si>
  <si>
    <t>if does not pass, must wait 12 months</t>
  </si>
  <si>
    <t>Can decide to have referendum on all topics but certain topics mandate a referendum. If referendum, must hold within 60 days and need majority approval (turnout not specified)</t>
  </si>
  <si>
    <t>only if assembly decides or on certain topics (majority, no turnout specified)</t>
  </si>
  <si>
    <t>3/4 of states ratify</t>
  </si>
  <si>
    <t>Need 2/3 of both houses to popose amendments, which are then ratified by legislatures in 3/4 of the states or conventions in the states. Alternatively, 2/3 of states can call for a convention and then ratify with 3/4 of states or by conventions in the states. Some articles unamendable until 1808 and cannot affect equal representation of states in senate.</t>
  </si>
  <si>
    <t xml:space="preserve">Citizen initiative goes to referendum at next election. Legislature (2/5) goes to president and plebiscite at next election (need absolute majority of citizens participating and 35% turnout). </t>
  </si>
  <si>
    <t>citizens (10%), legislature (2/5), senators/reperenstatives/executive power (50%)</t>
  </si>
  <si>
    <t>rejected proposals cannot be renewed until subsequent legislative period</t>
  </si>
  <si>
    <t>WHICH PROCEDURE TO CODE? FIRST IS REFERENDUM?</t>
  </si>
  <si>
    <t>(na for ref)</t>
  </si>
  <si>
    <t>1 (people)</t>
  </si>
  <si>
    <t>president, deputies (1/3)</t>
  </si>
  <si>
    <t>"NEXT REGULAR SESSION" = SAME ELECTORAL PERIOD, YES?</t>
  </si>
  <si>
    <t>failed amendments cannot be condisered for one year. Can only amend any topic once per session on certain topics</t>
  </si>
  <si>
    <t xml:space="preserve">INTERPRETING THIS AS LIMITING FREQUENCY OF AMENDMENT ON GIVEN TOPIC. AGREE/DISAGREE? "The repeat submission of a draft law on introducing amendments to Chapters I, III and XIII of this Constitution on one and the same issue is possible only to the Verkhovna Rada of Ukraine of the next convocation" </t>
  </si>
  <si>
    <t>Deupties or president can introduce proposals. Need to approve by majority and then by 2/3. For certain topics (see art 155, 156), need two rounds of 2/3 approval and a referendum. Failed amendments cannot be reconsidered for one year and certain amendment topics can only be amended once per legislative term.</t>
  </si>
  <si>
    <t>only certain topics</t>
  </si>
  <si>
    <t>prov art 9, 175</t>
  </si>
  <si>
    <t>PART SIXPROVISIONAL ARTICLE 9
Within a period of six years following the formation of the Bureau of the Grand National Assembly of Turkey, which is to convene after the first general elections, the President of the Republic may send back to the Grand National Assembly of Turkey any constitutional amendments. In this case, the re-submission of the constitutional amendment in its unchanged form to the President of the Republic by the Grand National Assembly of Turkey is only possible with a three-fourths majority of the votes of the total number of members.
Report error
PART SEVENIARTICLE 175
Amendment to the Constitution shall be proposed in writing by at least one-third of the total number of members of the Grand National Assembly of Turkey. Bills to amend the Constitution shall be debated twice in the Plenary. The adoption of a bill for an amendment shall require a three-fifths majority of the total number of members of the Assembly by secret ballot.
The consideration and adoption of bills for the amendments to the Constitution shall be subject to the provisions governing the consideration and adoption of laws, with the exception of the conditions set forth in this Article.
The President of the Republic may send back the laws on the amendments to the Constitution to the Grand National Assembly of Turkey for reconsideration. If the Assembly readopts, by a two-thirds majority of the total number of members, the law sent back by the President of the Republic without any amendment, the President of the Republic may submit the law to referendum.
If a law on the amendment to the Constitution is adopted by a three-fifths or less than two-thirds majority of the total number of members of the Assembly and is not sent back by the President of the Republic to the Assembly for reconsideration, it shall be published in the Official Gazette and be submitted to referendum.
A law on the Constitutional amendment adopted by a two- thirds majority of the total number of members of the Grand National Assembly of Turkey directly or upon the sending back of the law by the President of the Republic or its articles deemed necessary may be submitted to a referendum by the President of the Republic. A law on the amendment to the Constitution or the related articles that are not submitted to referendum shall be published in the Official Gazette.
Entry into force of the laws on the amendment to the Constitution submitted to referendum shall require the affirmative vote of more than half of the valid votes cast.
The Grand National Assembly of Turkey, in adopting the law on the Constitutional amendment shall also decide on which provisions shall be submitted to referendum together and which shall be submitted individually, in case the law is submitted to referendum.
Every measure including fines shall be taken by law to secure participation in referenda, general elections, by-elections and local elections.</t>
  </si>
  <si>
    <t>members (1/3)</t>
  </si>
  <si>
    <t xml:space="preserve">can resend amendments </t>
  </si>
  <si>
    <t>yes: majority (turnout not specified)</t>
  </si>
  <si>
    <t>Simple: legislature amends and requires 2/3 majority. No other details specified.</t>
  </si>
  <si>
    <t>legislature, king (?)</t>
  </si>
  <si>
    <t>2/3 of votes (no quorum specified)</t>
  </si>
  <si>
    <t>not elected (ratifies)</t>
  </si>
  <si>
    <t>HOW COUNT ELECTION? (DISSOLVE LOWER HOUSE AFTER PROPOSAL FOR BILL)</t>
  </si>
  <si>
    <t xml:space="preserve">Lower house passes an act stating that an amendment should be considered. The lower house is then immediately dissolved. The two houses vote on the bil and it passes it in the second reading by at least 2/3 of votes (no quorum specified). Provisions are made to adjust and split bills as needed both before consideration and after voting for the purposes of renumbering, etc. Once the king ratifies the amendments, they are in force immediately (unless they are in conflict with the constitution--in which case, they remain in conflict until directly addressed). </t>
  </si>
  <si>
    <t xml:space="preserve"> 0.5 (lower house) + 2/3 + e(two chambers) + e(two readings)</t>
  </si>
  <si>
    <t>majority then 2/3</t>
  </si>
  <si>
    <t>3 (1 chamber 2x, second chamber 1 x)</t>
  </si>
  <si>
    <t>LETTERS PATENT CONSTITUTING THE OFFICE OF GOVERNOR-GENERAL OF NEW ZEALAND18POWER RESERVED TO HER MAJESTY TO REVOKE, ALTER, OR AMEND THE PRESENT LETTERS PATENT
And We do hereby reserve to Ourselves, Our heirs and successors, full power and authority from time to time to revoke, alter, or amend these Our Letters Patent as to Us or them shall seem meet.
Report error
ELECTORAL ACT 1993PART 9268RESTRICTION ON AMENDMENT OR REPEAL OF CERTAIN PROVISIONS
1. This section applies to the following provisions (hereinafter referred to as reserved provisions), namely,—
a..section 17(1) of the Constitution Act 1986, relating to the term of Parliament:
b..section 28, relating to the Representation Commission:
c..section 35, and the definition of the term General electoral population in section 3(1), relating to the division of New Zealand into electoral districts after each census:
d..section 36, relating to the allowance for the adjustment of the quota:
e..section 74, and the definition of the term adult in section 3(1), and section 60(f), so far as those provisions prescribe 18 years as the minimum age for persons qualified to be registered as electors or to vote:
f..section 168, relating to the method of voting.
2. No reserved provision shall be repealed or amended unless the proposal for the amendment or repeal—
a..is passed by a majority of 75% of all the members of the House of Representatives; or
b..has been carried by a majority of the valid votes cast at a poll of the electors of the General and Maori electoral districts:
provided that this section shall not apply to the repeal of any reserved provision by a consolidating Act in which that provision is re-enacted without amendment and this section is re-enacted without amendment so as to apply to that provision as re-enacted.</t>
  </si>
  <si>
    <t>see text at right</t>
  </si>
  <si>
    <t>ARTICLE 141 The quorum necessary to hold a meeting of the National Assembly consists of half of its total membership plus one. 
ARTICLE 191
The National Assembly has the authority to partially reform this Political Constitution and to consider and decide on initiatives for its total revision.
The right to initiate a partial reform belongs to the President of the Republic or to one- third of the members of the National Assembly.
Half of the total membership of the National Assembly plus one are required to initiate a total reform.
ARTICLE 192
Share
A proposal for partial reform must specify the article or articles to be amended with a statement of the reasons for the modification. The proposal must be sent to a special commission which shall issue an opinion within a period of no more than sixty days. The reform initiative shall then follow the same process as the enactment of a statute.
A proposal for partial reform must be discussed in two sessions of the National Assembly.
ARTICLE 193
Share
The initiative for a total reform of the Constitution shall follow the process established in the previous article with regard to its presentation and explanation.
Upon the approval of the initiative for a total reform, the National Assembly shall fix the period in which the elections to a National Constituent Assembly have to be held. The National Assembly continues its mandate until the installation of the new Constituent National Assembly.
Until a new Constitution has been approved by the Constituent National Assembly, this Constitution shall remain in effect.
ARTICLE 194
Share
Approval of a partial reform shall require a favorable vote by sixty percent of the members of the National Assembly. Two-thirds of the total membership are required to approve a total reform. The President of the Republic shall promulgate the partial reform and in this case may not exercise the right to veto.
ARTICLE 195
Share
The reform of constitutional laws shall be made in accordance with the procedure established for partial reform of the Constitution, with the exception of the requirement of discussion in two legislative sessions.
To be approved, bills of law, decrees, resolutions, agreements, and declarations require the favorable vote of the absolute majority of the Deputies present, except in those cases where the Constitution requires another class of majority.
Every draft law shall be submitted to the Secretariat of the National Assembly together with an explanation of its motives.
Once they have been read in the plenary of the National Assembly, all draft laws shall be sent directly to a committee.
Urgent draft legislation initiated by the President of the Republic may be immediately submitted for discussion in plenary by the Leadership Council if the bill has been sent to the members of the Assembly forty-eight hours in advance.
Drafts of Codes and [other] comprehensive laws may be considered and approved chapter by chapter, if the plenary so decides.
Once the decision of the Commission is received, it shall be read before the plenary and be subject to a general debate; if it is approved, it shall be subject to detailed debate.
Once a draft law is passed by the National Assembly, it shall be sent to the President of the Republic for his/her sanction, promulgation, and publication, except in those cases which do not require such measures. The Amendments of the Constitution and the constitutional laws and decrees approved by the National Assembly do not need the approval of the Executive Power. In case that the President of the Republic does not promulgate or publish the draft amendments to the Constitution or constitutional laws; and if he/she does not approve, promulgate, or publish the other laws within a fifteen day period, the President of the National Assembly shall order their publication in any written social communication media entering into force on this date without prejudice to its subsequent publication in La Gaceta, the Official Gazette, which shall mention its publication date in the social communications media.
The laws shall be regulated if they expressly determine it. The Leadership Council of the National Assembly shall recommend the regulation of the laws to the respective Commission for its approval in the Plenary if the President of the Republic does not do it within the established time limit.
The laws may be derogated or amended only by other laws and go into effect from the day of their publication in La Gaceta, the Official Gazette, except when these themselves establish another modality.
When the National Assembly approves substantial reforms of the laws, it may order that their integral text together with the amendments be published in La Gaceta, the Official Gazette, except for amendments to the Codes.
The legislative initiatives presented in a legislature and not submitted for debate shall be considered in the subsequent session. Those which may have been debated may not be considered in the same legislature.</t>
  </si>
  <si>
    <t>legislature (total/partial), president (partial), members (1/3) (partial)</t>
  </si>
  <si>
    <t>no right to veto</t>
  </si>
  <si>
    <t>TWO LEGISLATIVE SESSIONS=SAME BODY OR NOT?</t>
  </si>
  <si>
    <t xml:space="preserve">Need 3/5 for partial reform and 2/3 for total reform. The president shall promulgate the partial reform and may not veto. National assembly alone can totally reform constitution but partial revision can be made by the president or members of the assembly (1/3). Proposals for partial reform must specify the article(s) to be amendment with reasons for modification that are then sent to a special commission. The commission must issue an opinion within 60 days. </t>
  </si>
  <si>
    <t>president and legislature (jointly)</t>
  </si>
  <si>
    <t>3/4 + 0.5(ref) -e (alt: 4/5)</t>
  </si>
  <si>
    <t>yes (unless 4/5 approval): majority not specified</t>
  </si>
  <si>
    <t>Ability to propose amendments belongs jointly to president and legislature. Need either 3/4 approval + referendum OR 4/5 approval (no ref). Referendum majority/turnout not specified. Limits to when amendments (integrity of territory infringed) or what amendments (form of state, among other topics) can occur.</t>
  </si>
  <si>
    <t>not elected (announces)</t>
  </si>
  <si>
    <t xml:space="preserve">Proposed amendments must be submitted to legislature (1st, 2nd, or 3rd after a new election) and announced in print. Need an intervening election and the new body will determine whether an amendment is necessary. </t>
  </si>
  <si>
    <t>PART XI238AMENDMENT OF CONSTITUTION
Subject to this Part, the Constitution may be amended by Act of Majlis-e-Shoora (Parliament).
Report error
PART XI239CONSTITUTION, AMENDMENT BILL
1..A Bill to amend the Constitution may originate in either House and, when the Bill has been passed by the votes of not less than two-thirds of the total membership of the House, it shall be transmitted to the other House.
2..If the Bill is passed without amendment by the votes of not less than two-thirds of the total membership of the House to which it is transmitted under clause (1), it shall, subject to the provisions of clause (4), be presented to the President for assent.
3..If the Bill is passed with amendment by the votes of not less than two-thirds of the total membership of the House to which it is transmitted under clause (1), it shall be reconsidered by the House in which it had originated, and if the Bill as amended by the former House is passed by the latter by the votes of not less than two-thirds of its total membership it shall, subject to the provisions of clause (4), be presented to the President for assent.
4..A Bill to amend the Constitution which would have the effect of altering the limits of a Province shall not be presented to the President for assent unless it has been passed by the Provincial Assembly of that Province by the votes of not less than two-thirds of its total membership.
5..No amendment of the Constitution shall be called in question in any court on any ground whatsoever.
6..For the removal of doubt, it is hereby declared that there is no limitation whatever on the power of the Majlis-e-Shoora (Parliament) to amend any of the provisions of the Constitution.</t>
  </si>
  <si>
    <t>238, 239</t>
  </si>
  <si>
    <t>elite group</t>
  </si>
  <si>
    <t>Entire constitution is amendable. Need 2/3 approval in both houses and presidential (elected by elite group) assent. Courts cannot call amendments into question on 'any ground whatsoever'</t>
  </si>
  <si>
    <t>legislature (majority not specified), cabinet coucil, supreme court of justice</t>
  </si>
  <si>
    <t>2 (house twice)</t>
  </si>
  <si>
    <t>READING 313.1 as needing to be approved by TWO ASSEMBLIES. CORRECT?</t>
  </si>
  <si>
    <t>only if second assembly does not pass unamended proposal.</t>
  </si>
  <si>
    <t>Legislature, cabinet council and supreme court of justice can propose amendments. Two options for amendment: Approve in 3 readings by first assembly and then in second assembly (new assembly after elections) in first reading without amendment, all by absolute majority. If the second assembly amends, it must approve in 3 readings by absolute majority and then submitted to referendum. In both cases, the text must be published in the official gazette. Replacement of the constitution can be achieved by a Parallel Constituent Assembly, convened by decision of the Executive Branch, ratified by thte legislature branch with abs majority, or by the legislative branch with a 2/3 vote, or or by popular initiative (20%). See art 314 for more detail.</t>
  </si>
  <si>
    <t>legislature (25%), president, people (30k)</t>
  </si>
  <si>
    <t>yes: majority is not specified</t>
  </si>
  <si>
    <t>must wait 3 years for amendment, 10 years for reform (new). Failed amendments cannot be considered again for one year if fail to garner abs majority in legislature and must not be considered for 3 years if referendum does not pass.</t>
  </si>
  <si>
    <t>0.51 + e(2/3 members present)+ e(two chambers)</t>
  </si>
  <si>
    <t>0.51 + 0.5 (ref) + e(two chambers) - e (alt: 3/5 approval, no ref)</t>
  </si>
  <si>
    <t>0.51 (leg approval) + 0.5 (ref) + e(maj of states' voters) + e(2-6 months) + e(two houses)</t>
  </si>
  <si>
    <t>Legislature (25%), president, people (30k) can propose amendments (similar requirements for proposing new document). Some topics require more stringent amendment route mandated by constitutional replacement. For typical amendment need an absolute majority of members in both chambers and a referendum (with 180 days permitted to call the referendum. Limits on how often amendments can be considered after promulgation of document and for how long before reconsidering a failed amendment (1 year if it fails to garner an absolute majority in the house but 3 years if it fails to pass in a referendum).</t>
  </si>
  <si>
    <t>ARTICLE 32
A referendum may be held on the following:
1.Partial or complete amendment of the Constitution.
2.Approval of binding rules.
3.Municipal ordinances.
4.Matters regarding the decentralization process.
Abolition or abridgement of the fundamental rights of the person may not be submitted to a referendum, neither may tax and budget rules nor international treaties in force. ARTICLE 101. 4.To exercise the delegation of legislative powers conferred by Congress.
Matters relating to constitutional reform, approval of international treaties, organic acts, the Budget Act, and the General Account of the Republic Act may not be delegated to the Permanent Assembly. 
ARTICLE 206
Any initiative of constitutional reform must be adopted by Congress through an absolute majority of the legal number of its members, and must be ratified by a referendum. The referendum may be exempted when the consent of Congress is obtained in two successive regular sessions, with a favorable vote of greater than two-thirds of the legal number of congressmen in each case.
A law concerning a constitutional reform shall not be objected to by the President of the Republic.
The right to initiate a constitutional reform corresponds to the President with the approval of the Cabinet, to congressmen, and to a number of citizens equivalent to three-tenths of a percent (0.3%) of the voting population, with their signatures being verified by the corresponding electoral authority.</t>
  </si>
  <si>
    <t>president (with approval of the cabinet), members, citizens (0.3% of the voting population)</t>
  </si>
  <si>
    <t>cannot object</t>
  </si>
  <si>
    <t>abs majority + 0.5 ref -e(alt: 2/3)</t>
  </si>
  <si>
    <t>Proposals to amend can be submitted by: president (with approval of the cabinet), members, citizens (0.3% of the voting population). Need absolute majority and referendum OR 2/3 (no ref)</t>
  </si>
  <si>
    <t>legislature (3/4), constitutional convention, people (12% of registered voters, including &gt;= 3% in each legsislative district)</t>
  </si>
  <si>
    <t>no amendments for first 5 years. After this, only amend every 5 years.</t>
  </si>
  <si>
    <t>Amendments can be proposed by: legislature (3/4), constitutional convention, people (12% of registered voters, including &gt;= 3% in each legsislative district). Ratify amendment by plebiscite, if public or legislature initiative. Can call a constitutional convention by vote of 2/3 OR can, by majority vote, submit question of convention to electorate.</t>
  </si>
  <si>
    <t>(for initiative, representation requirements)</t>
  </si>
  <si>
    <t>deputies (1/5), senate, president</t>
  </si>
  <si>
    <t>2/3 of votes (50% present)</t>
  </si>
  <si>
    <t>abs majority (50% present)</t>
  </si>
  <si>
    <t>only certain topics: maj not specified</t>
  </si>
  <si>
    <t>signs (within 21 days)</t>
  </si>
  <si>
    <t>Amendment can be proposed by deputies (1/5), senate, president. Need 2/3 (50% present) in house and abs majority in senate (50% present). Most amendments must be adopted twice, within 60 days but some amendment topics require waiting more than 60 days (235.5: Ch 1, 2, 12). Some topics require referendum (within 60 days) with majority to pass (no turnout specified).</t>
  </si>
  <si>
    <t>2/3 of votes with majority present (senate is abs majority with majority present)</t>
  </si>
  <si>
    <t>2/3 (sen abs maj) + e(adopt twice) + e(60 days to adopt second time) + e(president signs) + e(two chambers)</t>
  </si>
  <si>
    <t>PART IIITITLE IIICHAPTER IIARTICLE 161
The Assembly of the Republic shall be responsible for:
a..Passing amendments to the Constitution in accordance with Articles 284 to 289; ARTICLE 284 1. The Assembly of the Republic may revise the Constitution five years after the date of publication of the last ordinary revision law.
2. However, by a four-fifths majority of all the Members in full exercise of their office, the Assembly of the Republic may take extraordinary revision powers at any time.
ARTICLE 285. POWER TO INITIATE REVISIONS
1. Members shall possess the power to initiate revisions.
2. Once a draft revision of the Constitution has been submitted, any others shall be submitted within thirty days.
ARTICLE 286. PASSAGE AND ENACTMENT
1. Alterations to the Constitution shall require passage by a two-thirds majority of all the Members in full exercise of their office.
2. Such alterations to the Constitution as are passed shall be collected together in a single revision law.
3. The President of the Republic shall not refuse to enact such laws.
ARTICLE 287. NEW TEXT OF THE CONSTITUTION
1. Alterations to the Constitution shall be inserted in the correct place by means of such replacements, eliminations and additions as may be necessary.
2. The new text of the Constitution shall be published along with the revision law.
ARTICLE 288. MATTERS IN WHICH REVISION SHALL BE RESTRICTED
Constitutional revision laws shall respect:
a.National independence and the unity of the state;
b.The republican form of government;
c.The separation between church and state;
d.Citizens' rights, freedoms and guarantees;
e.The rights of workers, workers' committees and trade unions;
f.The coexistence of the public, private and cooperative and social sectors in relation to the ownership of the means of production;
g.The requirement for economic plans, which shall exist within the framework of a mixed economy;
h.The elected appointment of the officeholders of the bodies that exercise sovereign power, of the bodies of the autonomous regions and of local government bodies by universal, direct, secret and periodic suffrage; and the proportional representation system;
i.Plural expression and political organisation, including political parties, and the right to democratic opposition;
j.The separation and interdependence of the bodies that exercise sovereign power;
l.The subjection of legal rules to a review of their positive constitutionality and of their unconstitutionality by omission;
m.The independence of the courts;
n.The autonomy of local authorities;
o.The political and administrative autonomy of the Azores and Madeira archipelagos.</t>
  </si>
  <si>
    <t>can only amend every 5 years, unless override by vote of 4/5</t>
  </si>
  <si>
    <t>members (maj not specified)</t>
  </si>
  <si>
    <t>shall not refuse to enact</t>
  </si>
  <si>
    <t xml:space="preserve">Can only amend every 5 years, unless override by vote of 4/5. Some topics cannot be amended/must be respected. Otherwise, need 2/3 majority of members and the president canot refuse to enact. When amendments are proposed, alternate proposals should be laid forward as well. </t>
  </si>
  <si>
    <t>president (upon proposal by gov), deputies or sentators (1/4), citizens (500k: representing at least 50% of counties and at least 20k per county, including Bucharest Municipality)</t>
  </si>
  <si>
    <t>yes (majority, turnout not specified)</t>
  </si>
  <si>
    <t>Amendment can be proposed by president (upon proposal by gov), deputies or sentators (1/4), citizens (500k: representing at least 50% of counties and at least 20k per county, including Bucharest Municipality). Need 2/3 of members in each chamber but can also decide in joint session by vote of at least 3/4 of deputies and senators. Need final approval by referenendum held within 30 days. Some topics cannot be amended and some times do not permit amendments (e.g. state of emergency).</t>
  </si>
  <si>
    <t xml:space="preserve">president and deputies (concurrently), prime minister can propose revision to president. </t>
  </si>
  <si>
    <t>yes: majority and turnout not specified.</t>
  </si>
  <si>
    <t>majority (draft)</t>
  </si>
  <si>
    <t>DOUBLE CHECKING: NEED MAJORITY FOR DRAFT + REFERENDUM AS BASELINE?</t>
  </si>
  <si>
    <t>Legislature (maj not specified) can propose amendments to constitution. Amendments must explicitly address topic of amendment. Need 2/3 approval, publication in at least 2 issues of the Gazette (at least 9 days apart) for amendment. Certain topics, and new constitutions, require referendum (50% turnout with 2/3 approval)</t>
  </si>
  <si>
    <t>assent (certain topics?)</t>
  </si>
  <si>
    <t>only certain topics (50% turnout, 2/3 approval)</t>
  </si>
  <si>
    <t>PLEASE DOUBLE CHECK CODING</t>
  </si>
  <si>
    <t>Need 3/5 of members for amendment. No other procedures specified.</t>
  </si>
  <si>
    <t>deputies (20), government, citizens (30k)</t>
  </si>
  <si>
    <t>only if 30 deputies require (need majority of voters and majority approval)</t>
  </si>
  <si>
    <t>Amendment can be proposed by: deputies (20), government, citizens (30k). Need 2/3 of members to approve proposal (2/3 votes) and amendment (2/3 of members). Can require referendum (majority approval and majority turnout).</t>
  </si>
  <si>
    <t>Legislature can amend. Some topics require two readings with 3/4 of members approving. All else needs 2/3 approval in 2 readings.</t>
  </si>
  <si>
    <t>(in some topics)</t>
  </si>
  <si>
    <t>Can be amended by legislature. For most amendments, need 2/3 of members to approve in lower house and (depending on subject matter) 6/9 provinces (2/3) (matters that affect the council, altering provincial boundaries, powers functions or institutions or amends provisions that deals specfically with a provincial matter).All amendments must contain only matters relevant to the amendment. For other amendments (CH 2) need 2/3  in both houses. For Section 1 and amendments on amendment, need 75% in lower and 2/3 in upper. 30 days prior (or more) to bill introduction, need to publish in Gazette, submit to provincial legislatures for thier views and submit to upper house (if necessary). Also must submit written comments to the speaker and (when relevant) to the chair of the upper house. Must wait 30 days to vote after introduction or tabling (depending on whether the lower house is in session when the bill is introduced). When specific provinces are mentioned, these provinces must approve the bill's relevant parts. President gives assent.</t>
  </si>
  <si>
    <t>TOO MANY EPSILONS? DOES EACH ITEM GET ITS OWN EPSILON?</t>
  </si>
  <si>
    <t>75, 87, 166-169</t>
  </si>
  <si>
    <t>SECTION 75
1. The Houses shall convene in Plenary sittings and in Committees.
2. The Houses may delegate to Standing Legislative Committees the approval of Government or non-governmental bills. However, the Plenary sitting may at any time demand that any Government or non-governmental bill that has been so delegated be debated and voted upon by the Plenary itself.
3. Excluded from the provisions of the foregoing paragraph are constitutional reform, international affairs, organic and basic acts and the Budget.
 SECTION 87
Share
1. Legislative initiative belongs to the Government, the Congress and the Senate, in accordance with the Constitution and the Standing Orders of the Houses.
2. The Assemblies of Self-governing Communities may request the Government to adopt a bill or may refer a non-governmental bill to the Bureau of Congress and delegate a maximum of three Assembly members to defend it.
3. An organic act shall lay down the manner and the requirements of the popular initiative for submission of non-governmental bills. In any case, no less than 500.000 authenticated signatures shall be required. This initiative shall not be allowed on matters concerning organic acts, taxation, international affairs or the prerogative of pardon.
SECTION 166: The right to propose a constitutional amendment shall be exercised under the provisions of section 87, subsections 1 and 2.
SECTION 167
1. Bills on constitutional amendments must be approved by a majority of three- fifths of members of each House. If there is no agreement between the Houses, an effort to reach it shall be made by setting up a Joint Committee of an equal number of Members of Congress and Senators which shall submit a text to be voted on by the Congress and the Senate.
2. If approval is not obtained by means of the procedure outlined in the foregoing subsection, and provided that the text has been passed by the overall majority of the members of the Senate, the Congress may pass the amendment by a two-thirds vote in favour.
3. Once the amendment has been passed by the Cortes Generales, it shall be submitted to ratification by referendum, if so requested by one tenth of the members of either House within fifteen days after its passage.
SECTION 168
1. If a total revision of the Constitution is proposed, or a partial revision thereof, affecting the Introductory Part, Chapter II, Division 1 of Part I, or Part II, the principle of the proposed reform shall be approved by a two-thirds majority of the members of each House, and the Cortes Generales shall immediately be dissolved.
2. The Houses elected thereupon must ratify the decision and proceed to examine the new constitutional text, which must be passed by a two-thirds majority of the members of each House.
3. Once the amendment has been passed by the Cortes Generales, it shall be submitted to ratification by referendum.
SECTION 169
The process of constitutional amendment may not be initiated in time of war or under any of the states contemplated in section 116.</t>
  </si>
  <si>
    <t>government, legislature, citizens (500k)</t>
  </si>
  <si>
    <t>only if requested (1/10 of members, w/in 15 days)</t>
  </si>
  <si>
    <t>Proposals to amend can be submitted by: government, legislature, citizens (500k--topics limits). Need 3/5 in both houses. If cannot pass, can create joint session with equal numbers of members from each house and create text for vote. If still no agreement after joint session, can pass by 2/3 in lower house and majority in upper house. Need referendum only if requested by 1/10 of members (either house) within 15 days Some amendment types require 2/3 (as does total revision). After 2/3 approval in both houses, dissolve legislature and new houses ratify again by 2/3 and ratify in referendum. Cannot amend in certain times, eg war.</t>
  </si>
  <si>
    <t>TWO ALTERNATE PATHWAYS OR ONE? (Can hold joint session with subset of members. If that fails, can pass by 2/3 and majority instead of 3/5 in both. Count as two alternate paths or only one?)</t>
  </si>
  <si>
    <t xml:space="preserve">Must wait 9 months between two votes (can override with vote of 5/6). Can hold referendum on issue between two votes if moved by 1/10 of members and supported by 1/3 of members. For referendum, rejection if majority vote against  and if number of no votes is greater than half of those registered to vote (otherwise passes). Can also pass as single decision with 3/4 vote. </t>
  </si>
  <si>
    <t>8.5.14-17, 8.8.21</t>
  </si>
  <si>
    <t>ART 14
Share
Fundamental law is enacted by means of two decisions of identical wording. With the first decision, the proposal for the enactment of fundamental law is adopted as being held in abeyance. The second decision may not be taken until elections to the Riksdag have been held throughout the Realm following the first decision, and the newly-elected Riksdag has convened. At least nine months shall elapse between the first submission of the matter to the Chamber of the Riksdag and the date of the election, unless the Committee on the Constitution grants an exception. Such a decision is to be taken no later than the committee stage, and at least five sixths of the members must vote in favour of the decision.
ART 15
Share
The Riksdag may not adopt as a decision held in abeyance over an election a proposal for the enactment of fundamental law which conflicts with any other proposal concerning fundamental law currently being held in abeyance, unless at the same time it rejects the proposal first adopted.
ART 16
Share
A referendum shall be held on a proposal concerning fundamental law which is held in abeyance over an election, on a motion to this effect by at least one tenth of the members, provided at least one third of the members vote in favour of the motion. Such a motion must be put forward within fifteen days from the date on which the Riksdag adopted the proposal to be held in abeyance. The motion shall not be referred for preparation in committee. The referendum shall be held simultaneously with the election referred to in Article 14.
In the referendum, all those entitled to vote in the election are entitled to state whether or not they accept the proposal on fundamental law which is being held in abeyance. The proposal is rejected if a majority of those taking part in the referendum vote against it, and if the number of those voting against exceeds half the number of those who registered a valid vote in the election. In other cases the proposal goes forward to the Riksdag for final consideration.
ART 17
Share
The Riksdag Act is enacted as prescribed in Article 14, sentences one to three, and Article 15. It may also be enacted by means of a single decision, provided at least three fourths of those voting and more than half the members of the Riksdag vote in favour of the decision.
Supplementary provisions of the Riksdag Act are however adopted in the same manner as ordinary law. The provisions of paragraph one also apply to the adoption of an act of law under Article 2, paragraph one, point 4. THE INSTRUMENT OF GOVERNMENTCHAPTER 8PART 8ART 21
The opinion of the Council on Legislation is obtained by the Government or, under more detailed rules laid down in the Riksdag Act, by a committee of the Riksdag. The opinion of the Council on Legislation should be obtained before the Riksdag takes a decision on:
1..fundamental law relating to the freedom of the press or the corresponding freedom of expression on sound radio, television and certain similar transmissions, public performances taken from a database and technical recordings;</t>
  </si>
  <si>
    <t>only if requested (1/10 of members, 1/3 approval)</t>
  </si>
  <si>
    <t>legislature (members decide to amend)</t>
  </si>
  <si>
    <t>3 (2 houses + convention)</t>
  </si>
  <si>
    <t>citizens (100k), legislature</t>
  </si>
  <si>
    <t>4.2.138, 4.2.139, 4.2.140, 4.2.142, 6.1.192-195</t>
  </si>
  <si>
    <t xml:space="preserve"> TITLE FOURCHAPTER 2ART 138POPULAR INITIATIVE REQUESTING THE COMPLETE REVISION OF THE FEDERAL CONSTITUTION
1. Any 100,000 persons eligible to vote may within 18 months of the official publication of their initiative propose a complete revision of the Federal Constitution.
2. This proposal must be submitted to a vote of the People.
TITLE FOURCHAPTER 2ART 139POPULAR INITIATIVE REQUESTING A PARTIAL REVISION OF THE FEDERAL CONSTITUTION IN SPECIFIC TERMS
1. Any 100,000 persons eligible to vote may within 18 months of the official publication of their initiative request a partial revision of the Federal Constitution.
2. A popular initiative for the partial revision of the Federal Constitution may take the form of a general proposal or of a specific draft of the provisions proposed.
3. If the initiative fails to comply with the requirements of consistency of form, and of subject matter, or if it infringes mandatory provisions of international law, the Federal Assembly shall declare it to be invalid in whole or in part.
4. If the Federal Assembly is in agreement with an initiative in the form of a general proposal, it shall draft the partial revision on the basis of the initiative and submit it to the vote of the People and the Cantons. If the Federal Assembly rejects the initiative, it shall submit it to a vote of the People; the People shall decide whether the initiative should be adopted. If they vote in favour, the Federal Assembly shall draft the corresponding bill.
5. An initiative in the form of a specific draft shall be submitted to the vote of the People and the Cantons. The Federal Assembly shall recommend whether the initiative should be adopted or rejected. It may submit a counter-proposal to the initiative.
TITLE FOURCHAPTER 2ART 139BPROCEDURE APPLICABLE TO AN INITIATIVE AND COUNTER-PROPOSAL
1. The People vote on the initiative and the counter-proposal at the same time.
2. The People may vote in favour of both proposals. In response to the third question, they may indicate the proposal that they prefer if both are accepted.
3. If in response to the third question one proposal to amend the Constitution receives more votes from the People and the other more votes from the Cantons, the proposal that comes into force is that which achieves the higher sum if the percentage of votes of the People and the percentage of votes of the Cantons in the third question are added together.
TITLE FOURCHAPTER 2ART 140.1
The following must be put to the vote of the People and the Cantons:
a.amendments to the Federal Constitution;
[…]
2. The following are submitted to a vote of the People:
a.popular initiatives for a complete revision of the Federal Constitution;
abis.[This let. in its version of Federal Decree of 4 Oct. 2002 never came into force.]
b.popular initiatives for a partial revision of the Federal Constitution in the form of a general proposal that have been rejected by the Federal Assembly;
c.the question of whether a complete revision of the Federal Constitution should be carried out, in the event that there is disagreement between the two Councils.
ART 142. REQUIRED MAJORITIES
Share
1. Proposals that are submitted to the vote of the People are accepted if a majority of those who vote approve them.
2. Proposals that are submitted to the vote of the People and Cantons are accepted if a majority of those who vote and a majority of the Cantons approve them.
3. The result of a popular vote in a Canton determines the vote of the Canton.
4. The Cantons of Obwalden, Nidwalden, Basel-Stadt, Basel-Landschaft, Appenzell Ausserrhoden and Appenzell Innerrhoden each have half a cantonal vote.
TITLE SIXCHAPTER 1ART 192PRINCIPLE
1. The Federal Constitution may be totally or partially revised at any time.
2. Unless the Federal Constitution and the legislation based on it provides otherwise, any revision of the Federal Constitution is made by the legislative process.
TITLE SIXCHAPTER 1ART 193TOTAL REVISION
1. A total revision of the Federal Constitution may be proposed by the People or by either of the two Councils or be decreed by the Federal Assembly.
2. If the initiative emanates from the People or if the two Chambers are unable to agree, the People decide on whether a total revision should be carried out.
3. If the People vote for a total revision, new elections shall be held to both Chambers.
4. The mandatory provisions of international law must not be violated.
TITLE SIXCHAPTER 1ART 194PARTIAL REVISION
1. A partial revision of the Federal Constitution may be requested by the People or decreed by the Federal Assembly.
2. The partial revision must respect the principle of cohesion of subject matter and must not violate mandatory provisions of international law.
3. The popular initiative for partial revision must also respect the principle of consistency of form.
TITLE SIXCHAPTER 1ART 195COMMENCEMENT
The totally or partly revised Federal Constitution comes into force when it is approved by the People and the Cantons.</t>
  </si>
  <si>
    <t xml:space="preserve">yes: majority of cantons </t>
  </si>
  <si>
    <t>0.5 (people) + 0.5 (cantons)</t>
  </si>
  <si>
    <t>Amendment can be proposed by: citizens (100k), legislature. Approval needs to be done by people and canton--majority in both cases.</t>
  </si>
  <si>
    <t>????</t>
  </si>
  <si>
    <t>note: 2007 constitution included.</t>
  </si>
  <si>
    <t>members (1/4)</t>
  </si>
  <si>
    <t>3/4 of votes (3/4 present)</t>
  </si>
  <si>
    <t>yes: more yes votes than number of half of electors</t>
  </si>
  <si>
    <t>REF REQUIREMENT IS MORE YES VOTES THAN 50% OF VOTERS--HOW TO MEASURE? (0.5 + E?)</t>
  </si>
  <si>
    <t xml:space="preserve">Simple: legislature can propose amendments. Need 3/4 majority (with 3/4 present) and approval in ref with more yes votes than the number of 50% of electors. </t>
  </si>
  <si>
    <t xml:space="preserve">Some sections require 2/3 of approval (members) in both houses. Other topics require 3/4 (members) approval in the lower house and 2/3 in the upper house. Only explicit amendments can amend the constitution. </t>
  </si>
  <si>
    <t xml:space="preserve">Section 291
An amendment of the Constitution may be made only under the following rules and procedures:
1. A motion for an amendment must be proposed either by the Council of Ministers or members of the House of Representatives numbering not less than one-fifth of the total number of the existing members of the House of Representatives or members of both Houses numbering not less than one-fifth of the total number of existing members thereof or not less than 50,000 eligible voters in accordance with the law on a petition for the proposal of bills.
A motion for an amendment that has the effect of changing the democratic regime of government with the King as Head of the State or changing the form of the State shall be prohibited;
2. A motion for amendment must be proposed in the form of a draft Constitution Amendment, and the National Assembly shall consider it in three readings;
3. the voting in the first reading for acceptance in principle shall be by roll call and open voting, and the amendment must be approved by votes numbering not less than one-half of the total number of the existing members of both Houses;
4. the consideration in the second reading shall be made section by section and a public hearing shall be held to seek viewpoints from voters who have proposed the amendment;
The voting in the second reading for consideration section by section shall be decided by a simple majority of votes;
5. at the conclusion of the second reading, there shall be an interval of fifteen days, after which the National Assembly shall proceed with its third reading;
6. the voting in the third and final reading shall be by roll call and open voting, and its promulgation as the Constitution must be approved by votes of more than one-half of the total number of existing members of both Houses;
7. after the resolution has been passed in accordance with the aforementioned rules and procedures, the draft Constitution Amendment shall be presented to the King, and the provisions of Section 150 and Section 151 shall apply mutatis mutandis.
</t>
  </si>
  <si>
    <t>lower house, upper house (1/5), both houses (1/5), citizens (50k)</t>
  </si>
  <si>
    <t xml:space="preserve">Amendment can be proposed by: lower house, upper house (1/5), both houses (1/5), citizens (50k). Some topics cannot be amended (form of state, among others). </t>
  </si>
  <si>
    <t xml:space="preserve">General amendment: need majority in both houses. Some topics: need 3 months between introduction and first debate, then 3 more months between debate and bill passage. Other topics (such as amendment): need 3 months between introduciton of bill and debate, 3 months between debate and bill passage and 2-6 months later, a referendum (majority, turnout not specified). In both cases, need 2/3 approval. However, if no senate approval, can send to ref with 3/5 approval (and 2/3 in lower house twice). </t>
  </si>
  <si>
    <t>only certain topics (majority, turnout not specified)</t>
  </si>
  <si>
    <t>HOW TO CODE 'NEXT ORDINARY LEGISLATURE? SAME OR POST-ELECTION? [IF POST ELECTION, count like greece? Maj then 2/3?]</t>
  </si>
  <si>
    <t>IV1ARTICLE 87
The Croatian Parliament may call a referendum on a proposal for the amendment of the Constitution, on a bill, or any other issue within its competence.
The President of the Republic may, at the proposal of the Government and with the counter-signature of the Prime Minster, call a referendum on a proposal for the amendment of the Constitution or any other issue which he considers to be important for the independence, unity and existence of the Republic of Croatia.
The Croatian Parliament shall call a referendum upon the issues from sections 1 and 2 of this Article when so demanded by ten percent of all voters in the Republic of Croatia.
At such a referendum, the decision shall be made by the majority of the voters taking part therein.
Decisions made at referenda shall be binding.
A law on referenda shall be passed. Such law may also stipulate the conditions for holding a consultative referendum.
Report error
IXAMENDING THE CONSTITUTION
IXARTICLE 147
Amendments to the Constitution of the Republic of Croatia may be proposed by at least one-fifth of the members of the Croatian Parliament, the President of the Republic and the Government of the Republic of Croatia.
IXARTICLE 148
The Croatian Parliament shall decide by a majority vote of all representatives whether or not to start proceedings for the amendment of the Constitution.
Draft amendments to the Constitution shall be determined by a majority vote of all the members of the Croatian Parliament.
IXARTICLE 149
The decision to amend the Constitution shall be made by a two-thirds majority vote of all the members of the Croatian Parliament.
IXARTICLE 150
Amendment of the Constitution shall be promulgated by the Croatian Parliament.</t>
  </si>
  <si>
    <t>87, 147-150</t>
  </si>
  <si>
    <t>members (1/5), president, republic</t>
  </si>
  <si>
    <t>only if called (10% of voters, president + prime minister, or parliament): need majority of voters (turnout not specified)</t>
  </si>
  <si>
    <t xml:space="preserve">Unclear exactly how majority works for amendment: need majority to decide whether or not to amend (after proposal by 1/3 or government or president) and then 2/3 to make final. No referendum unless desired by voters (10%), president (with counter-signature of prime minister), or parliament. </t>
  </si>
  <si>
    <t>not elected (NO (explicitly))</t>
  </si>
  <si>
    <t>not elected (not mentioned)</t>
  </si>
  <si>
    <t>not elected (shall sign (unless violates fundamental law))</t>
  </si>
  <si>
    <t>not elected (assent)</t>
  </si>
  <si>
    <t>not elected (can veto, can be overridden (see notes))</t>
  </si>
  <si>
    <t>not elected (conference of rulers must consent to amendments to certain provisions (art 159.5))</t>
  </si>
  <si>
    <t>not elected (must give assent if method followed)</t>
  </si>
  <si>
    <t xml:space="preserve">pres (0.5) + assembly (0.5) + ref (0.5) + e(turnout) </t>
  </si>
  <si>
    <t>0.5 (first vote) + 0.5 (second vote, post elections) + e(president confirms)</t>
  </si>
  <si>
    <t>0.5 + 0.5 (ref) + e(2 chambers) + e(president signs and promulgates)</t>
  </si>
  <si>
    <t>0.5+ 0.5 (ref) + e(two chambers) + e(time for sending draft between chambers) - e(alt: 3/5) + e(president promulgates)</t>
  </si>
  <si>
    <t>3/4+0.5(ref)+e(other route) + e(all members)</t>
  </si>
  <si>
    <t>3/4 of all members on 3 ballots in 3 days</t>
  </si>
  <si>
    <t>4/5 of members in lower 2/3 in upper</t>
  </si>
  <si>
    <t>3/4 + e(3 ballots) + e(time for discussion) - e(alt route: 2/3 2x)+ e(all members for maj)</t>
  </si>
  <si>
    <t>4/5 + e(two houses) - e(alt route:Pres can send to ref) + e(abs maj to initiate amendment) + e(all members for maj)</t>
  </si>
  <si>
    <t>2/3 members-e(president cannot refuse to prom) + e(all members for maj)</t>
  </si>
  <si>
    <t>3/5 + e(two chambers) + 0.5 (president) -e(can override president)+ e(all members for maj)</t>
  </si>
  <si>
    <t>2/3 + 2/3(councils) -e(alt: councils or ref) + e(all members for maj)</t>
  </si>
  <si>
    <t>2/3 + e (multiple debates and delays)*3 + e(president recommends)+ e(all members for maj)</t>
  </si>
  <si>
    <t>2/3 + e(majority vote to decide yes/no on amendment) + e(majority draft approval)+ e(all members for maj)</t>
  </si>
  <si>
    <t>3/5 + e(two chambers) + e(all members for maj)</t>
  </si>
  <si>
    <t>2/3 majority</t>
  </si>
  <si>
    <t xml:space="preserve"> 2/3 + e(amendment suggestion needs 50% of members) + e(president signs/promulgates) + e(delay for discussion after draft pub)+ e(all members for maj)</t>
  </si>
  <si>
    <t>2/3+ e(all members for maj)</t>
  </si>
  <si>
    <t>2/3+ e(all members for maj) + e(two chambers)</t>
  </si>
  <si>
    <t>2/3 + e(publish 2x in Gazette, 3 months apart) + e(10 days after publication in gazette) + e(certificate from Speaker) + e(president assent) + e(3 readings) + e(2/3 at second AND third reading) + e(Council of state consulted) + e(all members for maj)</t>
  </si>
  <si>
    <t>2/3 + 0.5 + e(all members for maj)</t>
  </si>
  <si>
    <t>2/3 + e(pres sign w/in 5 days) + e(all members for maj)</t>
  </si>
  <si>
    <t>2/3 + 0.5 (ref) + e(two chambers)+ e(all members for maj)</t>
  </si>
  <si>
    <t>2/3 +e(time: need at least 90 days between readings) + e(3 readings) + e(certificate) + e(two chambers) + e(president gives assent) + e(all members for maj)</t>
  </si>
  <si>
    <t>2/3 +e(time: 6 months or less to adopt amendments after proposal) + e(3 readings) + e(2 months between readings) + e(president signs) + e(all members for maj)</t>
  </si>
  <si>
    <t>2/3+ e(gov approval of 2/3) + e(time: 4 months) + e(all members for maj)</t>
  </si>
  <si>
    <t>2/3 + e(time: 1 month delay) + e(signs and promulgates)+ e(all members for maj)</t>
  </si>
  <si>
    <t>2/3 + e(two rounds of votes) + e(3 months between votes) -e(can substitute ref for second round of voting)+ e(all members for maj)</t>
  </si>
  <si>
    <t>2/3+ e( 3 readings) + e(two chambers)+ e(all members for maj)</t>
  </si>
  <si>
    <t>2/3 + e(all members for maj)</t>
  </si>
  <si>
    <t>2/3 + 0.5(states) + e(two chambers)+ e(all members for maj)</t>
  </si>
  <si>
    <t>2/3 + e(6 months between initiative and passage) + e(must pass within one year from initiative)+ e(all members for maj)</t>
  </si>
  <si>
    <t>3/4+ e(all members for maj)</t>
  </si>
  <si>
    <t>2/3 + e(second chamber) - e(alt route: ref if second chamber does not approve)+ e(all members for maj)</t>
  </si>
  <si>
    <t>3/5+ e(commission &amp; opinion within 60 days) + e(discuss in two sessions of national assembly) - e(no right to veto)+ e(all members for maj)</t>
  </si>
  <si>
    <t>2/3 + e(two chambers)+ e(all members for maj)</t>
  </si>
  <si>
    <t>2/3 + 0.5 (ref) + e(two chambers) - e(alt: 3/4 joint session) + e(30 days for ref) + e(all members for maj)</t>
  </si>
  <si>
    <t>2/3 + e(publish in &gt;= 2 issues of Gazette, at least 9 days apart) + e(3 readings) + e(all members for maj)</t>
  </si>
  <si>
    <t>3/5 + e(all members for maj)</t>
  </si>
  <si>
    <t>2/3 + e( 2/3 approval of proposal) + e(all members for maj)</t>
  </si>
  <si>
    <t>2/3 + e(two readings) + e( give bill to speaker 4 weeks in advance) + e(all members for maj)</t>
  </si>
  <si>
    <t xml:space="preserve">2/3 + e(30 days before bill publish in gazette) + e(submit to provincial legislatures) + e(submit comments to speaker) + e(wait 30 days for introducing or tabling) + e(all members for maj) </t>
  </si>
  <si>
    <t>2/3 +e(two chambers)+ e(all members for maj)</t>
  </si>
  <si>
    <t>2/3 + e(majority approval in previous round)+ e(all members for maj)</t>
  </si>
  <si>
    <t>2/3 + 3/4 + e(two chambers) - e(alt) - e(alt) + e(all members for maj)</t>
  </si>
  <si>
    <t>2/3 + e(public in gazette) + e(three readings) + e(all members for maj)</t>
  </si>
  <si>
    <t>abs majority + 0.5 (ref) + e(180 days to call referendum) + e(two chambers)</t>
  </si>
  <si>
    <t xml:space="preserve"> 3/4 + 0.5 (pleb) + e( 60-90 days to hold plebiscite) - e(alt: constitutional convention) - e(initiative) + e(two chambers)</t>
  </si>
  <si>
    <t>2/3 + e(president authenticates laws) + e(time limits for passing between houses)</t>
  </si>
  <si>
    <t>2/3  (turkish community) + 2/3(greek community)+ e(all members for maj)</t>
  </si>
  <si>
    <t>2/3 + e(agreement by 0.5+1 members for proposal)</t>
  </si>
  <si>
    <t>0.5 (first vote) + 2/3 (second vote, post elections) - e(alt)</t>
  </si>
  <si>
    <t>maj + ref + e(2-6 months to submit to ref) - e(alt route: 2/3) + e(presidential assent)</t>
  </si>
  <si>
    <t>2/3 -e(president cannot veto) + e(all members for maj) + e(ratify in subsequent session)</t>
  </si>
  <si>
    <t>0.50 + e(two chambers)+ e(all members for maj) + e(time frame for debate)</t>
  </si>
  <si>
    <t>2/3 + 2/3 (ref) + e(two chambers) + e(2/3 approval for ref) + e(time: 1 year wait for ref) + e(all members for maj)</t>
  </si>
  <si>
    <t>2/3 + e(public hearing (1 month+)) + e(two votes of 2/3)+ e(all members for maj)</t>
  </si>
  <si>
    <t>ROLE OF COMMISSION FOR FORMULA?</t>
  </si>
  <si>
    <t>majority (abs) + majority (abs; second) + e(gazette) + e(3 readings) + e(sent within 5 days to new assembly after installation) - e(alt)</t>
  </si>
  <si>
    <t>3/5 + e(two chambers) - e(alt: joint session) - e(alt: can pass 2/3 in the lower house and majority in upper) + e(all members for maj)</t>
  </si>
  <si>
    <t>0.5 (first vote) + 0.5 (second vote) + e(9 month delay between two votes) - e(alt: abs majority + ref) -e(alt: 3/4 with maj present)</t>
  </si>
  <si>
    <t>3/4 + 0.5 + e(ref turnout) + (3/4 present)</t>
  </si>
  <si>
    <t xml:space="preserve">Need two rounds of debate and 3/5 approval + referendum. President can resend amendments and will take 2/3 to override (within first six years of formation of Buruea of the Grand National Assembly of Turkey, will take 3/4 to override) and then president can send overridden amendment to referendum. If amendment passed by 2/3, president can decide to send to referendum but is not necessary to do so. </t>
  </si>
  <si>
    <t>3/5 + 0.5 + e(two rounds of debate) + e(president can resend to legislature)+ e(all members for maj) - e(alt: 2/3)</t>
  </si>
  <si>
    <t>HOW TO COUNT APPROVAL BODIES (3?) WITH CONVENTION?</t>
  </si>
  <si>
    <t>WHAT IS FORMULA FINAL VALUE IF CONVENTION?</t>
  </si>
  <si>
    <t>Is it 2/3 majority to go through ref INSTEAD of assembly or can ADD a ref with 2/3 vote?</t>
  </si>
  <si>
    <t>1. An initiative for amending the Constitution may be taken by not less than one-fifth of the members of the Assembly. "3. A proposed amendment is approved by not less than two-thirds of all members of the Assembly.
4. The Assembly may decide, by two-thirds of all its members, that the proposed constitutional amendments be voted on in a referendum. The proposed constitutional amendment becomes effective after ratification by referendum, which takes place not later than 60 days after its approval by the Assembly."
2. No amendment to the Constitution may take place when extraordinary measures are in effect.
3. A proposed amendment is approved by not less than two-thirds of all members of the Assembly.
4. The Assembly may decide, by two-thirds of all its members, that the proposed constitutional amendments be voted on in a referendum. The proposed constitutional amendment becomes effective after ratification by referendum, which takes place not later than 60 days after its approval by the Assembly.
5. An approved constitutional amendment is submitted to referendum when one-fifth of the members of the Assembly request it.
6. The President of the Republic cannot return for re-consideration a constitutional amendment approved by the Assembly.
7. An amendment approved by referendum is promulgated by the President of the Republic and becomes effective on the date provided for in it.
8. An amendment of the Constitution cannot be made unless a year has passed since the rejection by the Assembly of a proposed amendment on the same issue or three years have passed from its rejection by referendum.</t>
  </si>
  <si>
    <t xml:space="preserve">What does this mean: "When a proposed law is submitted to the electors the vote shall be taken in such manner as the Parliament prescribes. But until the qualification of electors of members of the House of Representatives becomes uniform throughout the Commonwealth, only one-half the electors voting for and against the proposed law shall be counted in any State in which adult suffrage prevails." </t>
  </si>
  <si>
    <t>count "a majority of three quarters of the votes" as 3/4, correct?</t>
  </si>
  <si>
    <t>how to code (worth coding?): 3. EXPRESSION OF DISSENT
An amendment referred to in subsection (2) shall not have effect in a province the legislative assembly of which has expressed its dissent thereto by resolution supported by a majority of its members prior to the issue of the proclamation to which the amendment relates unless that legislative assembly, subsequently, by resolution supported by a majority of its members, revokes its dissent and authorizes the amendment.</t>
  </si>
  <si>
    <t>count as secondary route? Bypassing senate in art 47.</t>
  </si>
  <si>
    <t>how to incorporate role of referendum (president calls if disagreement between president and congress) into formula? (art 128)</t>
  </si>
  <si>
    <t>Art 376: coding constituent assembly as alternate path. Correct?</t>
  </si>
  <si>
    <t>counting island councils as additional body and coding under 'state'--OK?</t>
  </si>
  <si>
    <t>There are multiple stages of approval and delay: how many to include (upper bound on epsilon?) [what should the value of epsilon be?]</t>
  </si>
  <si>
    <t>All bills are read 3x before passage but this fact is not mentioned in amendment procedure specifically. Should this reading be included as an epsilon or not?</t>
  </si>
  <si>
    <t>See summary at right: how many approval bodies, three bodies? How does joint session + law get counted?</t>
  </si>
  <si>
    <t>2/3 + e(120 days advance notice for proposals) - e(president shall not refuse)</t>
  </si>
  <si>
    <t xml:space="preserve"> 3/5 (parl) + 0.5 (ref)+ e(time between 3 readings) + e(3 readings) + e(all members for maj)- e(alt) - e(alt)</t>
  </si>
  <si>
    <t>Count epsilon for both 3 readings and the time between 3 readings?</t>
  </si>
  <si>
    <t xml:space="preserve">0.51 (first vote) + 3/5 (second vote after elections) - e(alt path for revisions: 3/5 + 0.51) + e(two rounds of votes in first round (mult readings)) </t>
  </si>
  <si>
    <t>include epislon for 60 day delay after ratification?</t>
  </si>
  <si>
    <t>WHICH EPSILONS COUNT? (there are many)</t>
  </si>
  <si>
    <t>GEORGE, PLEASE DOUBLE CHECK THIS VALUE--HOW TO CODE with REF??</t>
  </si>
  <si>
    <t>FOUNDATIONARTICLE S
1. A proposal for the adoption of a new Fundamental Law or any amendment of the present Fundamental Law may be submitted by the President of the Republic, the Government, any parliamentary committee or any Member of the National Assembly.
2. For the adoption of a new Fundamental Law or the amendment of the Fundamental Law, the votes of two-thirds of the Members of the National Assembly shall be required.
3. The Speaker of the National Assembly shall sign the adopted Fundamental Law or the adopted amendment of the Fundamental Law within five days and shall send it to the President of the Republic. The President of the Republic shall sign the Fundamental Law or the amendment of the Fundamental Law sent to him within five days of receipt and shall order its promulgation in the official gazette. If the President of the Republic finds that any procedural requirement laid down in the Fundamental Law with respect to adoption of the Fundamental Law or the amendment of the Fundamental Law has not been met, he or she shall request the Constitutional Court to examine the issue. Should the examination by the Constitutional Court not verify the violation of such requirements, the President of the Republic shall immediately sign the Fundamental Law or the amendment of the Fundamental Law, and shall order its promulgation in the official gazette.
4. The designation of the amendment of the Fundamental Law made during publication shall include the title, the serial number of the amendment and the date of publication.
Report error
THE STATETHE NATIONAL ASSEMBLYARTICLE 1.2
2. The National Assembly shall:
a.shall adopt and amend the Fundamental Law of Hungary;
Report error
THE STATENATIONAL REFERENDUMSARTICLE 8.3
3. No national referendum may be held on:
a.any matter aimed at the amendment of the Fundamental Law;
Report error</t>
  </si>
  <si>
    <t>ADD EPSILON? " If the President of the Republic finds that any procedural requirement laid down in the Fundamental Law with respect to adoption of the Fundamental Law or the amendment of the Fundamental Law has not been met, he or she shall request the Constitutional Court to examine the issue."</t>
  </si>
  <si>
    <t>Referendum: is there always a referendum? Is the referendum in place of legislature vote? ("SECTION IXARTICLE 114
1. A law introducing changes to the Constitution may be adopted by referendum called by the Jogorku Kenesh.
")</t>
  </si>
  <si>
    <t>How does this factor in to formula andnumber of bodies:" [court] 3..shall conclude on the draft law on changes to the present Constitution."</t>
  </si>
  <si>
    <t>HOW DOES ART 89 FACTOR IN? (role of state council--add approving body?)</t>
  </si>
  <si>
    <t>2/3 + + 0.5 (ref) + e(majority to introduce amendment) +e(delay of 20 days to consider amendments) + e(president promulgates)+ e(all members for maj)</t>
  </si>
  <si>
    <t>IS 2/3 JOINT for both houses? (art 91) how to count it for bodies and formula?</t>
  </si>
  <si>
    <t>How to code "public debate"?</t>
  </si>
  <si>
    <t>2/3 + e(public debate) + e(second round of voting: need majority) + e(all members for maj)</t>
  </si>
  <si>
    <t>not mentioned ("public debate"</t>
  </si>
  <si>
    <t>wiki says 159.4 allows some portions to be amended by simple majority. Does this seem to be true? How to code majority?</t>
  </si>
  <si>
    <t>NOT SURE HOW TO CODE--says 75% but I've read elsewhere that it may be majority? Let's discuss this.</t>
  </si>
  <si>
    <t>2/3 + e(previous proposal)</t>
  </si>
  <si>
    <t xml:space="preserve">Amendment can be proposed by: president and deputies (concurrently), prime minister can propose revision to president. Some topics (republican form of state) cannot be amended. Amendments pass both houses (majority). If houses do not pass identical text, national assembly may decide defininitvely if Senate does not decide within set period (20 days, unless urgent). Need to have referendum unless president presents to parliament and then need 3/5 of votes. </t>
  </si>
  <si>
    <t xml:space="preserve">HOW TO COUNT APPROVAL BODIES (1 chamber or 2): bicameral from 1999 to 2001 and from 2007 to 2012, </t>
  </si>
  <si>
    <t>0.5 + e(majority of all members) + e(3 readings) + e(15 day delay between 2nd and 3rd readings) + e(two chambers)</t>
  </si>
  <si>
    <t>BEFORE, I HAD LEGISLATURE COUNTED, BUT IT READS AS THOUGH LEGISLATURE COULD NOT RECOMMEND AMENDMENT AND AMENDMENT COULD STILL PASS? HOW DO LEGISLATURES FACTOR IN? DO THEY COUNT IN BODIES OR NO? " The Federal Assembly shall recommend whether the initiative should be adopted or rejected. It may submit a counter-proposal to the initiative."</t>
  </si>
  <si>
    <t xml:space="preserve">Bills to amend ('alter') the constitution must be publicized in the gazette and cannot be voted on for 30 days. Unclear how the text of the bill is approved--cannot find mention of specific voting rule for drafting a bill and unclear if it is majority and then 2/3 majority to approve. </t>
  </si>
  <si>
    <t>Only 'special' amendments are specified. What is the 'baseline' procedure for amendment?</t>
  </si>
  <si>
    <t>total revision: 'authenticates' laws</t>
  </si>
  <si>
    <t>0.5 (ref)</t>
  </si>
  <si>
    <t>majority (abs) + majority (abs; second) + e(gazette) + e(3 readings)  - e(alt)</t>
  </si>
  <si>
    <t>3/4 + 0.5 + e(ref turnout) + e(3/4 present)</t>
  </si>
  <si>
    <t>3/4+0.5(ref)-e(other route) + e(all members)</t>
  </si>
  <si>
    <t xml:space="preserve">0.5 + 0.5 (post-election) + 0.5 (ref) + e (40% voters say yes) </t>
  </si>
  <si>
    <t>2 (people + Cantons)</t>
  </si>
  <si>
    <t>3/4 + e(3 ballots) - e(alt route: 2/3 2x)+ e(all members for maj) + e(at least 2 months before discussion)</t>
  </si>
  <si>
    <t xml:space="preserve">maj + ref + e(2-6 months to submit to ref)  - e(alt route: 2/3) </t>
  </si>
  <si>
    <t>2/3 + 0.5 (ref) + e(majority to introduce amendment) +e(delay of 20 days to consider amendments) + e(all members for maj)</t>
  </si>
  <si>
    <t>2/3 +e(time: 6 months or less to adopt amendments after proposal) + e(3 readings) + e(2 months between readings) + e(all members for maj)</t>
  </si>
  <si>
    <t>2/3 + e(6 months between initiative and passage) + e(all members for maj)</t>
  </si>
  <si>
    <t>replace t_appr_bodies_coded=</t>
  </si>
  <si>
    <t>United States Of America</t>
  </si>
  <si>
    <t>3 (2 parls + pres)</t>
  </si>
  <si>
    <t>3 (2 houses + pres)</t>
  </si>
  <si>
    <t>2 (house + pres)</t>
  </si>
  <si>
    <t>0.5 (people) + 0.5 (cantons) -e(alt: parliament route)</t>
  </si>
  <si>
    <t>Notes/Qs [COW_M="Constitutions of the World" By R. Maddex (2014)]</t>
  </si>
  <si>
    <t>ADD to formula as presidential approval? " If the President of the Republic finds that any procedural requirement laid down in the Fundamental Law with respect to adoption of the Fundamental Law or the amendment of the Fundamental Law has not been met, he or she shall request the Constitutional Court to examine the issue." NO, from COW_M</t>
  </si>
  <si>
    <t>reading most basic amendments (not in schedule) as 2/3 but other amendment types need maj + ref</t>
  </si>
  <si>
    <t>wiki says 159.4 allows some portions to be amended by simple majority. These are exceptions so going to leave this alone for now. Source: COW_M</t>
  </si>
  <si>
    <t>counting as majority, based on CCP coding and COW_M</t>
  </si>
  <si>
    <t>READING 313.1 as needing to be approved by TWO ASSEMBLIES. CORRECT? Corroborated with COW_M</t>
  </si>
  <si>
    <t>2/3 + e(second round of voting: need majority) + e(all members for maj)</t>
  </si>
  <si>
    <t xml:space="preserve">2/3 + 0.5 + e(all members for maj) </t>
  </si>
  <si>
    <t xml:space="preserve"> 2/3 + e(amendment suggestion needs 50% of members) + e(delay for discussion after draft pub)+ e(all members for maj)</t>
  </si>
  <si>
    <t>2/3 + e(publish 2x in Gazette, 3 months apart) + e(3 readings) + e(2/3 at second AND third reading) + e(all members for maj)</t>
  </si>
  <si>
    <t>2/3 + e(time: 4 months) + e(all members for maj)</t>
  </si>
  <si>
    <t>1 parl</t>
  </si>
  <si>
    <t>2 (2 (joint) chambers + people)</t>
  </si>
  <si>
    <t xml:space="preserve">2/3 + 0.5 (ref) </t>
  </si>
  <si>
    <t>0.5 +2/3  + e(50% pop representation)-e(alt: instead of senate, pass 2x in house &gt;180 days apart)</t>
  </si>
  <si>
    <t>not counting national council b/c not elected directly</t>
  </si>
  <si>
    <t>2/3 + e (multiple debates and delays) + 0.5 (pres) + e(all members for maj)</t>
  </si>
  <si>
    <t>replace vp_rigid=</t>
  </si>
  <si>
    <t>replace vp_rigid_2ch=</t>
  </si>
  <si>
    <t>VP RIGIDITY FORMULA</t>
  </si>
  <si>
    <t>2/3 + e(120 days advance notice for proposals)</t>
  </si>
  <si>
    <t>2/3 + e(all members for maj) + e(ratify in subsequent session)</t>
  </si>
  <si>
    <t>3/5+e(commission)</t>
  </si>
  <si>
    <t>Assumed majority</t>
  </si>
  <si>
    <t>Not counting as adding of referemdum</t>
  </si>
  <si>
    <t>Counting majority of states + majority of voters as epsilons</t>
  </si>
  <si>
    <t>3 (people + 2 houses)</t>
  </si>
  <si>
    <t>Each house must pass an amendment by absolute majority. Between 2 and 6 months later, it must be submitted to referendum gaining approval by the majority of electors in a majority of states. Additional provisions should houses not agree on content of amendment (by passing amendments to suggested amendment in one house only). Queen gives assent. Certain types of amendments must be approved by majority of voters in every state.</t>
  </si>
  <si>
    <t>Two procedures: one for partial revision and one for total reform. Partial revision can be initiated by the citizens (20% of electorate) or by Plurinational assembly (congress). If the congress initiates, it must pass by 2/3 of members</t>
  </si>
  <si>
    <t>count "a majority of three quarters of the votes" as 3/4. Reading this as 3/4, corroborated with COW_M</t>
  </si>
  <si>
    <t>president calls referendum if disagreement between president and congress (art 128) Reading as yes, based on COW_M</t>
  </si>
  <si>
    <t>Art 376: coding constituent assembly as alternate path. Read this way supported by COW_M</t>
  </si>
  <si>
    <t>Need 2/3 approval by members and either approval by 2/3 of island councils OR referendum (majority). Some amendments acnnot be made (endangering integrity of the national territory for example).</t>
  </si>
  <si>
    <t>Winding amendment procedure: need 4 approvals, 1 to admit to discussion, 1 to approve draft, 1 to approve bill, and 1 to make bill official. Amendment initiated by citizens (5%) or deputies (10). Must be read 3 times at intervals of 6 days to determine whether it is admitted for discussion. If admitted to discussion, sent to committee and then approved by 2/3 majority (two levels of reform approval). Majority approves the bill, sends it to the executive, a third discussion over three debates approves the bill by 2/3.  General reform possible only through Constituent Assembly, approved by 2/3 of members of legislative assembly (and does not require exectutive sanction).</t>
  </si>
  <si>
    <t>There are multiple stages of approval and delay: including one epsilon for this.</t>
  </si>
  <si>
    <t>Simple majority</t>
  </si>
  <si>
    <t xml:space="preserve">Two paths: entrenched/not provisions (non-entrenched coded at right). Many onerous steps but only requires 2/3 of members. Also requires certificate from speaker, consultation by Council of state (cabinet-like office), delays, publication in Gazette, and multiple readings. Entrenched provisions: referred to Council of State (which gives 'advice'), publishd in Gazette, referendum (75% vote with 40% turnout) and passed (majority) by parl. </t>
  </si>
  <si>
    <t>Need to pass (majority) in both houses. Amendments can only be initiated by lower house. Referendum (majority) to approve. President signs and promulgates</t>
  </si>
  <si>
    <t>Some changes must be made through majority of parl members or referendum (300k). Need 2/3 approval with 3 readings, each 2 months apart. Can (but not necessary) submit to referendum if 2/3 approve. Constitutional chamber of the supreme court 'concludes on the draft law on changes to the present constitution.'</t>
  </si>
  <si>
    <t xml:space="preserve">Need 2/3 in both houses (not joint) and referendum (also 2/3). Cannot suspend constitution using emergency powers. Amendments to presidential term lengths apply after the current president leaves office. </t>
  </si>
  <si>
    <t>2/3 not joint for both houses. (art 91) reading as NO from COW_M</t>
  </si>
  <si>
    <t xml:space="preserve">Need 2/3 majority to initiate change, majority to confirm, followed by a "public debate". To change the constittuion requires 2/3 vote and the change is declared by the assembly. Unclear why this second phrasing is included in the text (possibly redundant or specifiying a different type of change). Coded 'public debate' as referendum. For cetain topics(see amendment 18), need 2/3 majority which must contain a majority of the votes of the total number of representatives who belong to the communities not in the majority in the population of macedonia. </t>
  </si>
  <si>
    <t>legislature, king</t>
  </si>
  <si>
    <t>COUNTING ELECTION AS (DISSOLVE LOWER HOUSE AFTER PROPOSAL FOR BILL) 0.5, based on COW_M</t>
  </si>
  <si>
    <t>assent (certain topics)</t>
  </si>
  <si>
    <t>COUNT AS ONE ALTERNATE PATHWAY. (Can hold joint session with subset of members. If that fails, can pass by 2/3 and majority instead of 3/5 in both.)</t>
  </si>
  <si>
    <t xml:space="preserve">INTERPRETING THIS AS LIMITING FREQUENCY OF AMENDMENT ON GIVEN TOPIC. "The repeat submission of a draft law on introducing amendments to Chapters I, III and XIII of this Constitution on one and the same issue is possible only to the Verkhovna Rada of Ukraine of the next convocation" </t>
  </si>
  <si>
    <t>Notes</t>
  </si>
  <si>
    <t>Coding 'next ordinary legislature' as same legislature. [IF POST ELECTION, counting like Greece- Maj then 2/3]. code presidential recommendation as 0.5, "The mentioned bill will pass to the Executive Power; and it will send it to the Assembly with the Presidential Message at the beginning of the next ordinary legislature, with his observations, or recommending it;"</t>
  </si>
  <si>
    <t>Count this as two chambers or one (unclear if it's joint approval). " The partial reform of the Constitution may be initiated by popular initiative with the signatures of at least twenty percent of the electorate, or by the Pluri-National Legislative Assembly through a law of constitutional reform approved by two-thirds of the total members present of the Pluri-National Legislative Assembly. " reading as two chambers, based on COW_M</t>
  </si>
  <si>
    <t>Bicameral</t>
  </si>
  <si>
    <t>What is value for approval of amendment? (legislature vote value)</t>
  </si>
  <si>
    <t>Match CCP?</t>
  </si>
  <si>
    <t>CCP</t>
  </si>
  <si>
    <t>State Req</t>
  </si>
  <si>
    <t>Second senate majority</t>
  </si>
  <si>
    <t>Second house majority (second time) [only for new chamber]</t>
  </si>
  <si>
    <t>People</t>
  </si>
  <si>
    <t>President if elected</t>
  </si>
  <si>
    <t>Hos elected? (CCP 2=yes)</t>
  </si>
  <si>
    <t>Senate majority</t>
  </si>
  <si>
    <t>House majority</t>
  </si>
  <si>
    <t>Who can propse amendment</t>
  </si>
  <si>
    <t>Limit frequency of amend</t>
  </si>
  <si>
    <t>Basic Info</t>
  </si>
  <si>
    <t>Relevant articles</t>
  </si>
  <si>
    <t>Text</t>
  </si>
  <si>
    <t xml:space="preserve"> </t>
  </si>
  <si>
    <t>Amendments proposed by 2/3 of both chambers, and accepted by Convention</t>
  </si>
  <si>
    <t>not counted as bicameral because of the override possibility. count as secondary route- Bypassing senate in art 47.  HTML address: http://ualawccsprod.srv.ualberta.ca/ccs/index.php/constitutional-keywords/489-amending-formula</t>
  </si>
  <si>
    <t>Only 'special' amendments are specified. Baseline procedure for amendment is 2/3.</t>
  </si>
  <si>
    <t>Pres+ref counts as alternate route (art 298).</t>
  </si>
  <si>
    <t xml:space="preserve"> EXPRESSION OF DISSENT
An amendment referred to in subsection (2) shall not have effect in a province the legislative assembly of which has expressed its dissent thereto by resolution supported by a majority of its members prior to the issue of the proclamation to which the amendment relates unless that legislative assembly, subsequently, by resolution supported by a majority of its members, revokes its dissent and authorizes the amendment.</t>
  </si>
  <si>
    <t>Island councils count as additional body and be coded under 'state.'</t>
  </si>
  <si>
    <t xml:space="preserve">*changed </t>
  </si>
  <si>
    <t xml:space="preserve">All bills are read 3x before passage but this fact is not mentioned in amendment procedure specifically. </t>
  </si>
  <si>
    <t>See summary at right: Counting as 3 bodies and 2/3 + e for role of law + assembly.</t>
  </si>
  <si>
    <t>president signature not counted as 0.5.</t>
  </si>
  <si>
    <t>Does not include epislon for 60 day delay after ratification.</t>
  </si>
  <si>
    <t>"subsequent regular annual session" meaning  (next meeting, same congress)</t>
  </si>
  <si>
    <t xml:space="preserve">Not counted as 0.5,  "the President shall assent to the Bill and cause it to be published within thirty days after the Bill is enacted by Parliament" </t>
  </si>
  <si>
    <t xml:space="preserve"> ART 89 DOES NOT FACTOR IN (role of state council--add approving body).</t>
  </si>
  <si>
    <t xml:space="preserve">Not counting referendum ("SECTION IXARTICLE 114
1. A law introducing changes to the Constitution may be adopted by referendum called by the Jogorku Kenesh.
") </t>
  </si>
  <si>
    <t xml:space="preserve">The following does not factor in the formula and number of bodies:" [court] 3..shall conclude on the draft law on changes to the present Constitution."  0.5 not counted for president: " The adopted constitutional amendments shall be submitted to the President for signature." </t>
  </si>
  <si>
    <t>Goverenment Approval not factored in:  Art 77: " The President of the Chamber, then, communicates this proposal to the Government, requesting that it drafts a bill for this purpose. If the Government approves the proposal of the Chamber by a two-thirds majority, it must prepare a draft law, and introduce it to the Chamber within four months."</t>
  </si>
  <si>
    <t>Not counting "public debate"--for referendum.</t>
  </si>
  <si>
    <t xml:space="preserve">TWO LEGISLATIVE SESSIONS=SAME BODY </t>
  </si>
  <si>
    <t xml:space="preserve">ROLE OF COMMISSION not included in FORMULA? </t>
  </si>
  <si>
    <t>President can send to referendum or legislature--not incorporated in formula.  "However, the bill or the proposal are not presented to referendum when the President of the Republic decides to present them to the Parliament convoked in Congress."</t>
  </si>
  <si>
    <t>REF REQUIREMENT IS MORE YES VOTES THAN 50% OF VOTERS--Measured with epsilon</t>
  </si>
  <si>
    <t>"NEXT REGULAR SESSION" = SAME ELECTORAL PERIOD</t>
  </si>
  <si>
    <t>President, deputies (ten), court of constitutionality, people (5k) propose amendments. Need 2/3 of deputies to convoke a national constituent assembly for amendment of amendment procedure or Ch 1 title 2 and members must be elected. For normal amendments, need 2/3 of total number of deputies, ratified through referendum (art 173).  Some articles may not be amended (see art 281).</t>
  </si>
  <si>
    <t xml:space="preserve">  </t>
  </si>
  <si>
    <t>2/3(lower) + 2/3||lower-upper|| + e (2/3 present)</t>
  </si>
  <si>
    <t>3/5(lower) + 3/5||lower-upper|| + e(two rounds)</t>
  </si>
  <si>
    <t>4/5(lower) + 4/5||lower-upper|| - e(alt route:Pres can send to ref) + e(abs maj to initiate amendment) + e(all members for maj)</t>
  </si>
  <si>
    <t>3/5(lower) + 3/5||lower-upper|| + 0.5 (president) -e(can override president)+ e(all members for maj)</t>
  </si>
  <si>
    <t>0.5(lower) + 0.5||lower-upper||+ e(two discussions) ) -e(alt: can do constituent assembly) - e(alt: ref)</t>
  </si>
  <si>
    <t>3/5(lower) + 3/5||lower-upper|| + e(all members for maj)</t>
  </si>
  <si>
    <t>0.5(lower) + 0.5||lower-upper||+ 0.5 (ref)  + e(time for bill consideration: tabling delays) - e(alt path)</t>
  </si>
  <si>
    <t>2/3(lower) + 2/3||lower-upper||+ e(all members for maj)</t>
  </si>
  <si>
    <t>0.5(lower) + 0.5||lower-upper||+e(2/3 members present)</t>
  </si>
  <si>
    <t xml:space="preserve">0.5(lower) + 0.5||lower-upper||+ 0.5 (ref) </t>
  </si>
  <si>
    <t>0.5(lower) + 0.50||lower-upper||+ e(all members for maj) + e(wait 3 months for debate)</t>
  </si>
  <si>
    <t>2/3(lower) + 2/3||lower-upper||+ 0.5 (ref) + e(all members for maj)</t>
  </si>
  <si>
    <t>2/3(lower) + 2/3||lower-upper|| + e(3 readings) + e(certificate) + e(all members for maj)</t>
  </si>
  <si>
    <t>0.5(lower) + 0.5||lower-upper||+ 0.5(ref) + e(time: limit for holding ref)-e(alt: 2/3)</t>
  </si>
  <si>
    <t>2/3(lower) + 2/3||lower-upper||+2/3 (ref) + e(2/3 approval for ref) + e(time: 1 year wait for ref) + e(all members for maj)</t>
  </si>
  <si>
    <t>2/3(lower) + 2/3||lower-upper||+ e( 3 readings) + e(all members for maj)</t>
  </si>
  <si>
    <t>2/3(lower) + 2/3||lower-upper||+ 0.5(states) + e(all members for maj)</t>
  </si>
  <si>
    <t>2/3(lower) + 2/3||lower-upper|| - e(alt route: ref if second chamber does not approve)+ e(all members for maj)</t>
  </si>
  <si>
    <t xml:space="preserve"> 2/3(lower) + 2/3||lower-upper|| + e(two readings)</t>
  </si>
  <si>
    <t xml:space="preserve"> 3/4(lower) + 3/8||lower-upper||+0.5 (pleb) + e( 60-90 days to hold plebiscite) - e(alt: constitutional convention) - e(initiative)</t>
  </si>
  <si>
    <t>2/3(lower) + 2/3||lower-upper||+ e(adopt twice) + e(60 days to adopt second time)</t>
  </si>
  <si>
    <t>2/3(lower) + 2/3||lower-upper|| + 0.5 (ref)  - e(alt: 3/4 joint session) + e(all members for maj)</t>
  </si>
  <si>
    <t>3/5(lower) + 3/5||lower-upper|| - e(alt: joint session) - e(alt: can pass 2/3 in the lower house and majority in upper) + e(all members for maj)</t>
  </si>
  <si>
    <t>0.5(lower) + 0.5||lower-upper||+ e(majority of all members) + e(3 readings) + e(15 day delay between 2nd and 3rd readings)</t>
  </si>
  <si>
    <t>2/3(lower) + 2/3||lower-upper||+ 3/4 - e(alt) - e(alt) + e(all members for maj)</t>
  </si>
  <si>
    <t>VP Rigidity (Euclidean)</t>
  </si>
  <si>
    <t>VP Rigidity (Chi Sq)</t>
  </si>
  <si>
    <t>VP Rigidity (Average)*</t>
  </si>
  <si>
    <t>*Note that "average" VP rigidity is calculated by counting the second chamber in a bicameral system as "half" of the first. That is ||lower-upper|| =.5 for all countries in this calculation</t>
  </si>
  <si>
    <t>0.5 (lower) + 0.5 (ref)  - e(alt: 3/5) +e(second chamber)</t>
  </si>
  <si>
    <t>Turkey before 1987</t>
  </si>
  <si>
    <t xml:space="preserve">Need two rounds of debate and 2/3 approval President can resend amendments and will take 2/3 to override.Then, president can decide to send to referendum but is not necessary to do so. </t>
  </si>
  <si>
    <t xml:space="preserve">2/3  + 0.5 (pres) + e(two rounds of debate) + e(all members for maj) </t>
  </si>
  <si>
    <t xml:space="preserve">coding the president's ability to send back amendments as veto that can be overruled at 0.5; not counting referendum. </t>
  </si>
  <si>
    <t>3/5 + 0.5 (pres) + e(two rounds of debate) + e(all members for maj) - e(alt: 2/3)</t>
  </si>
  <si>
    <t>Amendments follow the same procedure as normal legislation, requiring a simplle majority in the House of Commons, but subject to a veto in the House of Lords</t>
  </si>
  <si>
    <t>After the House of Lords veto power was greatly diminished in 1911, constitutional amendments now must simply pass the House of Commons</t>
  </si>
  <si>
    <t>yes (House of Lords can veto)</t>
  </si>
  <si>
    <t>1 (House of Commons)</t>
  </si>
  <si>
    <t>0.5(majority in HoC)</t>
  </si>
  <si>
    <t xml:space="preserve"> Legislative Yuam can propose amendments. Need 3/4 majority (with 3/4 present) and approval by the National Assembly</t>
  </si>
  <si>
    <t>2 (Legislative Yuan + National Assembly)</t>
  </si>
  <si>
    <t>Additional articles to the Constitution of the Republic of China (Fourth Revision); Artiles 27 and 174 of the Constitution</t>
  </si>
  <si>
    <t>Article 27
(1) The functions of the National Assembly shall be as follows:
1. To elect the President and the Vice President.
2. To recall the President and the Vice President.
3. To amend the Constitution.
4. To vote in the exercise of its right of referendum on proposed constitutional amendments originating in the Legislative Yuan.
(2) With respect to the rights of initiative and referendum, except as is provided in Items 3 and 4 of the preceding paragraph, the National Assembly shall adopt regulations pertaining thereto and put them into effect after one half of the Counties and Municipalities of the country shall have exercised their rights of initiative and referendum in their respective jurisdictions.</t>
  </si>
  <si>
    <t>3/4 + e(3/4 present) -e(aternative procedure)</t>
  </si>
  <si>
    <r>
      <t xml:space="preserve">After declaring need for amendment, there is an election. However, it is not clearly stated how the need for amendment is determined (who proposes and whether it is approved) (Art 77). After need for amendment is determined, houses are dissolved (specified how in art 46). There must be 2/3 of members present and approval must be by 2/3 of votes. Points for amendment are decided with the King. An additional transistory provision (195) specifies </t>
    </r>
    <r>
      <rPr>
        <i/>
        <sz val="20"/>
        <color theme="1"/>
        <rFont val="맑은 고딕"/>
        <family val="2"/>
        <scheme val="minor"/>
      </rPr>
      <t>how</t>
    </r>
    <r>
      <rPr>
        <sz val="20"/>
        <color theme="1"/>
        <rFont val="맑은 고딕"/>
        <family val="2"/>
        <scheme val="minor"/>
      </rPr>
      <t xml:space="preserve"> certain articles may be amended (eg to give more detail on a procedure)</t>
    </r>
  </si>
  <si>
    <r>
      <t xml:space="preserve">1. Any provision of this Constitution may be amended, whether by way of variation, addition, or repeal, in the manner provided by this Article.
2. Every proposal for an amendment of this Constitution shall be initiated in Dáil Éireann as a Bill, and shall upon having been passed or deemed to have been passed by both Houses of the Oireachtas, be submitted by Referendum to the decision of the people in accordance with the law for the time being in force relating to the Referendum.
3. Every such Bill shall be expressed to be </t>
    </r>
    <r>
      <rPr>
        <sz val="20"/>
        <color theme="1"/>
        <rFont val="Libian SC Regular"/>
        <family val="2"/>
      </rPr>
      <t></t>
    </r>
    <r>
      <rPr>
        <sz val="20"/>
        <color theme="1"/>
        <rFont val="맑은 고딕"/>
        <family val="2"/>
        <scheme val="minor"/>
      </rPr>
      <t>An Act to amend the Constitution</t>
    </r>
    <r>
      <rPr>
        <sz val="20"/>
        <color theme="1"/>
        <rFont val="Libian SC Regular"/>
        <family val="2"/>
      </rPr>
      <t></t>
    </r>
    <r>
      <rPr>
        <sz val="20"/>
        <color theme="1"/>
        <rFont val="맑은 고딕"/>
        <family val="2"/>
        <scheme val="minor"/>
      </rPr>
      <t>.
4. A Bill containing a proposal or proposals for the amendment of this Constitution shall not contain any other proposal.
5. A Bill containing a proposal for the amendment of this Constitution shall be signed by the President forthwith upon his being satisfied that the provisions of this Article have been complied with in respect thereof and that such proposal has been duly approved by the people in accordance with the provisions of section 1 of Article 47 of this Constitution and shall be duly promulgated by the President as a law.
THE REFERENDUM
ARTICLE 47
1. Every proposal for an amendment of this Constitution which is submitted by Referendum to the decision of the people shall, for the purpose of Article 46 of this Constitution, be held to have been approved by the people, if, upon having been so submitted, a majority of the votes cast at such Referendum shall have been cast in favour of its enactment into law.
2. 1°. Every proposal, other than a proposal to amend the Constitution, which is submitted by Referendum to the decision of the people shall be held to have been vetoed by the people if a majority of the votes cast at such Referendum shall have been cast against its enactment into law and if the votes so cast against its enactment into law shall have amounted to not less than thirty-three and one-third per cent. of the voters on the register.
2°. Every proposal, other than a proposal to amend the Constitution, which is submitted by Referendum to the decision of the people shall for the purposes of Article 27 hereof be held to have been approved by the people unless vetoed by them in accordance with the provisions of the foregoing sub-section of this section.
3. Every citizen who has the right to vote at an election for members of Dáil Éireann shall have the right to vote at a Referendum.
4. Subject as aforesaid, the Referendum shall be regulated by law. (just fyi on updating after amendments--method for organizing/incorporating amendments): 5. 1°. It shall be lawful for the Taoiseach, from time to time as occasion appears to him to require, to cause to be prepared under his supervision a text (in both the official languages) of this Constitution as then in force embodying all amendments theretofore made therein.</t>
    </r>
  </si>
  <si>
    <r>
      <t xml:space="preserve">role of president- Art 77 &amp; art 79: "If the Chamber insists on it by a three-fourths majority of all the members constituting the Chamber legally, then the President of the Republic may either respond to the wish of the Chamber, or may ask the Council of Ministers to dissolve it and conduct new elections within three months. If the new Chamber insists upon the necessity of the amendment, then the Government must acquiesce and introduce the amendment proposal in the period of four months."  </t>
    </r>
    <r>
      <rPr>
        <b/>
        <sz val="20"/>
        <color theme="1"/>
        <rFont val="맑은 고딕"/>
        <family val="2"/>
        <scheme val="minor"/>
      </rPr>
      <t xml:space="preserve">AND </t>
    </r>
    <r>
      <rPr>
        <sz val="20"/>
        <color theme="1"/>
        <rFont val="맑은 고딕"/>
        <family val="2"/>
        <scheme val="minor"/>
      </rPr>
      <t>The President of the Republic must promulgate the Law relating to the Constitutional amendment in the same manner and conditions required for the promulgation and publication of the ordinary laws. He has the right to ask the Chamber to reconsider the proposal another time, during the time limit for the promulgation, and after notifying the Council of Ministers. Voting upon it is, also, by a two-thirds majority.</t>
    </r>
  </si>
  <si>
    <r>
      <t xml:space="preserve">ARTICLE 129
The Constitution of the Republic of Macedonia can be changed or supplemented by constitutional amendments.
ARTICLE 130
A proposal to initiate a change in the Constitution in the Republic of Macedonia may be made by the President of the Republic, by the Government, by at least 30 Representatives, or by 150,000 citizens.
ARTICLE 131
The decision to initiate a change in the Constitution is made by the Assembly by a two-thirds majority vote of the total number of Representatives. The draft amendment to the Constitution is confirmed by the Assembly by a majority vote of the total number of Representatives and then submitted to public debate. The decision to change the Constitution is made by the Assembly by a two-thirds majority vote of the total number of Representatives. The change in the Constitution is declared by the Assembly. </t>
    </r>
    <r>
      <rPr>
        <b/>
        <sz val="20"/>
        <color theme="1"/>
        <rFont val="맑은 고딕"/>
        <family val="2"/>
        <scheme val="minor"/>
      </rPr>
      <t>AMENDMENT XVIII</t>
    </r>
    <r>
      <rPr>
        <sz val="20"/>
        <color theme="1"/>
        <rFont val="맑은 고딕"/>
        <family val="2"/>
        <scheme val="minor"/>
      </rPr>
      <t xml:space="preserve">
1. A decision to amend the Preamble, the articles on local self-government, Article 131, any provision relating to the rights of members of communities, including in particular Articles 7, 8, 9, 19, 48, 56, 69, 77, 78, 86, 104 and 109, as well as a decision to add any new provision relating to the subject-matter of such provisions and articles, shall require a two-thirds majority vote of the total number of Representatives, within which there must be a majority of the votes of the total number of Representatives who belong to the communities not in the majority in the population of Macedonia.
2. With this amendment a new paragraph is added to paragraph 4 of Article 131 of the Constitution of the Republic of Macedonia.</t>
    </r>
  </si>
  <si>
    <r>
      <t xml:space="preserve">195. POWER TO AMEND
Parliament may amend this Constitution in accordance with this Chapter.
196. RESTRICTIONS ON AMENDMENTS
1. Subject to this section, Parliament may amend this Chapter and the sections of this Constitution listed in the Schedule only if—
a.the provision to be amended and the proposed amended to it have been put to a referendum of the people of Malawi and the majority of those voting have voted for the amendment; and
b.the Electoral Commission has so certified to the Speaker.
2. The Parliament may pass a Bill proposing an amendment to which the conditions set out in subsection (1) have been satisfied by a simple majority.
3. Notwithstanding subsection (1), Parliament may pass a Bill containing an amendment to the provisions referred to in that subsection without a referendum where—
a.the amendment would not affect the substance of the effect of the Constitution;
b.the Speaker has so certified; and
c.the Bill is supported by a majority of at least two-thirds of the total number of members of the National Assembly entitled to vote.
197. AMENDMENTS BY PARLIAMENT
Subject to section 196, Parliament may amend those Chapters and sections of this Constitution not listed in the Schedule only if the Bill proposing the amendment is supported by at least two-thirds of the total number of members of the National Assembly entitled to vote. 
</t>
    </r>
    <r>
      <rPr>
        <b/>
        <sz val="20"/>
        <color theme="1"/>
        <rFont val="맑은 고딕"/>
        <family val="2"/>
        <scheme val="minor"/>
      </rPr>
      <t>SCHEDULE</t>
    </r>
    <r>
      <rPr>
        <sz val="20"/>
        <color theme="1"/>
        <rFont val="맑은 고딕"/>
        <family val="2"/>
        <scheme val="minor"/>
      </rPr>
      <t xml:space="preserve">
Those Chapters of this Constitution, and the sections in those Chapters, listed under this Schedule and the entirety of this Schedule shall not be amended except in accordance with section 196.
CHAPTER I—THE REPUBLIC OF MALAWI
1. Malawi a sovereign State
2. National flag, etc.
3. National territory
4. Protection of the people of Malawi under this Constitution
5. Supremacy of this Constitution
6. Universal and equal suffrage
7. The separate status, function and duty of the executive
q8. The separate status, function and duty of the legislature
9. The separate status, function and duty of the judiciary
CHAPTER II—APPLICATION AND INTERPRETATION
10. Application of this Constitution
11. Interpretation
CHAPTER III—FUNDAMENTAL PRINCIPLES
12. Constitutional principles
13. Principles of national policy
CHAPTER IV—HUMAN RIGHTS
15. Protection of human rights and freedoms
16. The right to life
17. Genocide
18. Liberty
19. Human dignity and personal freedoms
20. Equality
21. Privacy
22. Family and marriage
23. Rights of children
24. Rights of women
25. Education
26. Culture and language
27. Slavery, servitude and forced labour
28. Property
29. Economic activity
30. The right to development
31. Labour
32. Freedom of association
33. Freedom of conscience
34. Freedom of opinion
35. Freedom of expression
36. Freedom of the press
37. Access to information
38. Freedom of assembly
39. Freedom of movement and residence
40. Political rights
41. Access to justice and legal remedies
42. Arrest, detention and fair trial
43. Administrative justice
44. Limitations on rights
45. Derogation and public emergency
46. Enforcement
CHAPTER V—CITIZENSHIP
47. Citizenship
CHAPTER VII—ELECTIONS
77. The franchise
CHAPTER IX—THE JUDICATURE
103. The independence and jurisdiction of the courts and the judiciary
111. Appointment of the judiciary
114. Remuneration
119. Tenure of judges</t>
    </r>
  </si>
  <si>
    <t>Turkey after 1987</t>
  </si>
  <si>
    <t>Taiwan before 2000</t>
  </si>
  <si>
    <t>Taiwan after 2000</t>
  </si>
  <si>
    <t>United Kingdom before 1911</t>
  </si>
  <si>
    <t>United Kingdom after 1911</t>
  </si>
  <si>
    <t>2/3 + 1/3||lower-upper||+ e(all members for maj)</t>
  </si>
  <si>
    <t>0.5(lower) + 0.5||lower-upper||</t>
  </si>
  <si>
    <t>Israel</t>
  </si>
  <si>
    <t>0.5 (lower house)</t>
  </si>
  <si>
    <t>0.5(lower) + 0.5*||lower-upper|| + 0.5 (ref) + e(maj of states' voters)</t>
    <phoneticPr fontId="21" type="noConversion"/>
  </si>
  <si>
    <t xml:space="preserve">0.5 (first vote) + 3/5 (second vote after elections) - e(alt path for revisions: 3/5 + 0.51) + e(two rounds of votes in first round (mult readings)) </t>
    <phoneticPr fontId="21" type="noConversion"/>
  </si>
  <si>
    <t>0.5(lower) + 0.5||lower-upper|| +e(2/3 members present)</t>
    <phoneticPr fontId="21" type="noConversion"/>
  </si>
  <si>
    <t>0.5(lower) + 0.5||lower-upper|| + e(two debates) + e(time: 3 months between debates) + 0.5(ref) - e(alt route: 2/3, no ref)</t>
    <phoneticPr fontId="21" type="noConversion"/>
  </si>
  <si>
    <t>0.50(lower)+ 0.5||lower-upper||+ 0.5 (ref) + e(180 days to call referendum)</t>
    <phoneticPr fontId="21" type="noConversion"/>
  </si>
  <si>
    <t xml:space="preserve">2/3(lower) + 2/3* ||lower-upper|| + 0.5 (convention) </t>
    <phoneticPr fontId="21" type="noConversion"/>
  </si>
  <si>
    <t>Chi Sq Distances (||lower-upper||)</t>
    <phoneticPr fontId="21" type="noConversion"/>
  </si>
  <si>
    <t>Euclidean Distances (||lower-upper||)</t>
    <phoneticPr fontId="21" type="noConversion"/>
  </si>
  <si>
    <t>VP Rigidity with Chi Sq distance for ||lower-upper||</t>
    <phoneticPr fontId="21" type="noConversion"/>
  </si>
  <si>
    <t>VP Rigidity with Euclidean distance for ||lower-upper||</t>
    <phoneticPr fontId="21" type="noConversion"/>
  </si>
  <si>
    <t>oecd</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</si>
</sst>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맑은 고딕"/>
      <family val="2"/>
      <scheme val="minor"/>
    </font>
    <font>
      <b/>
      <sz val="12"/>
      <color theme="1"/>
      <name val="맑은 고딕"/>
      <family val="2"/>
      <scheme val="minor"/>
    </font>
    <font>
      <sz val="12"/>
      <color rgb="FFFF0000"/>
      <name val="맑은 고딕"/>
      <family val="2"/>
      <scheme val="minor"/>
    </font>
    <font>
      <u/>
      <sz val="12"/>
      <color theme="10"/>
      <name val="맑은 고딕"/>
      <family val="2"/>
      <scheme val="minor"/>
    </font>
    <font>
      <u/>
      <sz val="12"/>
      <color theme="11"/>
      <name val="맑은 고딕"/>
      <family val="2"/>
      <scheme val="minor"/>
    </font>
    <font>
      <sz val="12"/>
      <color rgb="FF000000"/>
      <name val="맑은 고딕"/>
      <family val="2"/>
      <scheme val="minor"/>
    </font>
    <font>
      <sz val="12"/>
      <color theme="1"/>
      <name val="Libian SC Regular"/>
      <family val="2"/>
    </font>
    <font>
      <b/>
      <sz val="12"/>
      <color rgb="FF000000"/>
      <name val="맑은 고딕"/>
      <family val="2"/>
      <scheme val="minor"/>
    </font>
    <font>
      <sz val="12"/>
      <color rgb="FF222222"/>
      <name val="Arial"/>
      <family val="2"/>
    </font>
    <font>
      <sz val="12"/>
      <name val="맑은 고딕"/>
      <family val="2"/>
      <scheme val="minor"/>
    </font>
    <font>
      <i/>
      <sz val="12"/>
      <color theme="1"/>
      <name val="맑은 고딕"/>
      <family val="2"/>
      <scheme val="minor"/>
    </font>
    <font>
      <sz val="20"/>
      <color theme="1"/>
      <name val="맑은 고딕"/>
      <family val="2"/>
      <scheme val="minor"/>
    </font>
    <font>
      <b/>
      <sz val="20"/>
      <color rgb="FF000000"/>
      <name val="맑은 고딕"/>
      <family val="2"/>
      <scheme val="minor"/>
    </font>
    <font>
      <b/>
      <sz val="20"/>
      <color theme="1"/>
      <name val="맑은 고딕"/>
      <family val="2"/>
      <scheme val="minor"/>
    </font>
    <font>
      <sz val="20"/>
      <color rgb="FF000000"/>
      <name val="맑은 고딕"/>
      <family val="2"/>
      <scheme val="minor"/>
    </font>
    <font>
      <i/>
      <sz val="20"/>
      <color theme="1"/>
      <name val="맑은 고딕"/>
      <family val="2"/>
      <scheme val="minor"/>
    </font>
    <font>
      <sz val="20"/>
      <name val="맑은 고딕"/>
      <family val="2"/>
      <scheme val="minor"/>
    </font>
    <font>
      <b/>
      <sz val="20"/>
      <name val="맑은 고딕"/>
      <family val="2"/>
      <scheme val="minor"/>
    </font>
    <font>
      <sz val="20"/>
      <color theme="1"/>
      <name val="Libian SC Regular"/>
      <family val="2"/>
    </font>
    <font>
      <sz val="20"/>
      <color rgb="FFFF0000"/>
      <name val="맑은 고딕"/>
      <family val="2"/>
      <scheme val="minor"/>
    </font>
    <font>
      <sz val="20"/>
      <color theme="1"/>
      <name val="Calibri"/>
      <family val="2"/>
    </font>
    <font>
      <sz val="8"/>
      <name val="맑은 고딕"/>
      <family val="3"/>
      <charset val="129"/>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106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1">
    <xf numFmtId="0" fontId="0" fillId="0" borderId="0" xfId="0"/>
    <xf numFmtId="0" fontId="0" fillId="0" borderId="0" xfId="0" applyFont="1" applyAlignment="1">
      <alignment wrapText="1"/>
    </xf>
    <xf numFmtId="0" fontId="0" fillId="3" borderId="0" xfId="0" applyFont="1" applyFill="1" applyAlignment="1">
      <alignment wrapText="1"/>
    </xf>
    <xf numFmtId="0" fontId="7" fillId="0" borderId="0" xfId="0" applyFont="1" applyAlignment="1">
      <alignment wrapText="1"/>
    </xf>
    <xf numFmtId="0" fontId="1" fillId="0" borderId="0" xfId="0" applyFont="1" applyAlignment="1">
      <alignment wrapText="1"/>
    </xf>
    <xf numFmtId="0" fontId="0" fillId="2" borderId="0" xfId="0" applyFont="1" applyFill="1" applyAlignment="1">
      <alignment wrapText="1"/>
    </xf>
    <xf numFmtId="0" fontId="0" fillId="0" borderId="0" xfId="0" applyFont="1" applyFill="1" applyAlignment="1">
      <alignment wrapText="1"/>
    </xf>
    <xf numFmtId="0" fontId="0" fillId="0" borderId="0" xfId="0" quotePrefix="1" applyFont="1" applyAlignment="1">
      <alignment wrapText="1"/>
    </xf>
    <xf numFmtId="0" fontId="5" fillId="0" borderId="0" xfId="0" applyFont="1" applyAlignment="1">
      <alignment wrapText="1"/>
    </xf>
    <xf numFmtId="0" fontId="2" fillId="0" borderId="0" xfId="0" applyFont="1" applyAlignment="1">
      <alignment wrapText="1"/>
    </xf>
    <xf numFmtId="0" fontId="1" fillId="0" borderId="0" xfId="0" applyFont="1" applyFill="1" applyAlignment="1">
      <alignment wrapText="1"/>
    </xf>
    <xf numFmtId="0" fontId="7" fillId="0" borderId="0" xfId="0" applyFont="1" applyAlignment="1">
      <alignment horizontal="center" wrapText="1"/>
    </xf>
    <xf numFmtId="2" fontId="1" fillId="0" borderId="0" xfId="0" applyNumberFormat="1" applyFont="1" applyAlignment="1">
      <alignment horizontal="center" wrapText="1"/>
    </xf>
    <xf numFmtId="0" fontId="1" fillId="0" borderId="0" xfId="0" applyFont="1" applyAlignment="1">
      <alignment horizontal="center" wrapText="1"/>
    </xf>
    <xf numFmtId="2" fontId="7" fillId="0" borderId="0" xfId="0" applyNumberFormat="1" applyFont="1" applyAlignment="1">
      <alignment horizontal="center" wrapText="1"/>
    </xf>
    <xf numFmtId="0" fontId="9" fillId="0" borderId="0" xfId="0" applyFont="1" applyFill="1" applyAlignment="1">
      <alignment wrapText="1"/>
    </xf>
    <xf numFmtId="0" fontId="5" fillId="0" borderId="0" xfId="0" applyFont="1"/>
    <xf numFmtId="16" fontId="0" fillId="0" borderId="0" xfId="0" applyNumberFormat="1"/>
    <xf numFmtId="0" fontId="0" fillId="0" borderId="0" xfId="0" quotePrefix="1"/>
    <xf numFmtId="0" fontId="0" fillId="3" borderId="0" xfId="0" applyFill="1"/>
    <xf numFmtId="0" fontId="0" fillId="0" borderId="0" xfId="0" applyFont="1" applyAlignment="1">
      <alignment horizontal="right" wrapText="1"/>
    </xf>
    <xf numFmtId="0" fontId="0" fillId="0" borderId="0" xfId="0" applyAlignment="1">
      <alignment wrapText="1"/>
    </xf>
    <xf numFmtId="0" fontId="0" fillId="0" borderId="0" xfId="0" quotePrefix="1" applyAlignment="1">
      <alignment wrapText="1"/>
    </xf>
    <xf numFmtId="0" fontId="1" fillId="4" borderId="0" xfId="0" applyFont="1" applyFill="1" applyAlignment="1">
      <alignment wrapText="1"/>
    </xf>
    <xf numFmtId="16" fontId="0" fillId="0" borderId="0" xfId="0" quotePrefix="1" applyNumberFormat="1"/>
    <xf numFmtId="0" fontId="0" fillId="4" borderId="0" xfId="0" applyFont="1" applyFill="1" applyAlignment="1">
      <alignment wrapText="1"/>
    </xf>
    <xf numFmtId="0" fontId="0" fillId="4" borderId="0" xfId="0" applyFill="1" applyAlignment="1">
      <alignment wrapText="1"/>
    </xf>
    <xf numFmtId="0" fontId="0" fillId="4" borderId="0" xfId="0" applyFill="1"/>
    <xf numFmtId="0" fontId="5" fillId="4" borderId="0" xfId="0" applyFont="1" applyFill="1"/>
    <xf numFmtId="0" fontId="5" fillId="4" borderId="0" xfId="0" applyFont="1" applyFill="1" applyAlignment="1">
      <alignment wrapText="1"/>
    </xf>
    <xf numFmtId="0" fontId="8" fillId="4" borderId="0" xfId="0" applyFont="1" applyFill="1" applyAlignment="1">
      <alignment wrapText="1"/>
    </xf>
    <xf numFmtId="0" fontId="0" fillId="0" borderId="0" xfId="0" applyFill="1"/>
    <xf numFmtId="0" fontId="0" fillId="0" borderId="0" xfId="0" applyFill="1" applyAlignment="1">
      <alignment wrapText="1"/>
    </xf>
    <xf numFmtId="0" fontId="5" fillId="0" borderId="0" xfId="0" applyFont="1" applyFill="1"/>
    <xf numFmtId="0" fontId="0" fillId="0" borderId="0" xfId="0" quotePrefix="1" applyFill="1"/>
    <xf numFmtId="0" fontId="2" fillId="3" borderId="0" xfId="0" applyFont="1" applyFill="1" applyAlignment="1">
      <alignment wrapText="1"/>
    </xf>
    <xf numFmtId="0" fontId="5" fillId="0" borderId="0" xfId="0" quotePrefix="1" applyFont="1"/>
    <xf numFmtId="0" fontId="0" fillId="3" borderId="0" xfId="0" applyFill="1" applyAlignment="1">
      <alignment wrapText="1"/>
    </xf>
    <xf numFmtId="16" fontId="0" fillId="0" borderId="0" xfId="0" applyNumberFormat="1" applyFill="1"/>
    <xf numFmtId="16" fontId="1" fillId="0" borderId="0" xfId="0" applyNumberFormat="1" applyFont="1" applyAlignment="1">
      <alignment wrapText="1"/>
    </xf>
    <xf numFmtId="16" fontId="0" fillId="0" borderId="0" xfId="0" quotePrefix="1" applyNumberFormat="1" applyAlignment="1">
      <alignment wrapText="1"/>
    </xf>
    <xf numFmtId="16" fontId="1" fillId="0" borderId="0" xfId="0" quotePrefix="1" applyNumberFormat="1" applyFont="1" applyAlignment="1">
      <alignment wrapText="1"/>
    </xf>
    <xf numFmtId="0" fontId="1" fillId="0" borderId="0" xfId="0" quotePrefix="1" applyFont="1" applyAlignment="1">
      <alignment wrapText="1"/>
    </xf>
    <xf numFmtId="0" fontId="7" fillId="0" borderId="0" xfId="0" applyFont="1" applyAlignment="1"/>
    <xf numFmtId="0" fontId="0" fillId="0" borderId="0" xfId="0" applyAlignment="1"/>
    <xf numFmtId="0" fontId="0" fillId="0" borderId="0" xfId="0" applyFont="1" applyAlignment="1"/>
    <xf numFmtId="0" fontId="0" fillId="0" borderId="0" xfId="0" applyFont="1" applyFill="1" applyAlignment="1"/>
    <xf numFmtId="0" fontId="1" fillId="0" borderId="0" xfId="0" applyFont="1" applyAlignment="1"/>
    <xf numFmtId="0" fontId="5" fillId="0" borderId="0" xfId="0" applyFont="1" applyAlignment="1"/>
    <xf numFmtId="0" fontId="9" fillId="0" borderId="0" xfId="0" applyFont="1" applyFill="1" applyAlignment="1"/>
    <xf numFmtId="0" fontId="1" fillId="0" borderId="0" xfId="0" applyFont="1" applyFill="1" applyAlignment="1"/>
    <xf numFmtId="0" fontId="11" fillId="0" borderId="0" xfId="0" applyFont="1" applyAlignment="1"/>
    <xf numFmtId="0" fontId="13" fillId="0" borderId="0" xfId="0" applyFont="1" applyAlignment="1"/>
    <xf numFmtId="0" fontId="12" fillId="0" borderId="0" xfId="0" applyFont="1" applyFill="1" applyAlignment="1">
      <alignment wrapText="1"/>
    </xf>
    <xf numFmtId="0" fontId="12" fillId="0" borderId="0" xfId="0" applyFont="1" applyFill="1" applyAlignment="1"/>
    <xf numFmtId="0" fontId="12" fillId="0" borderId="0" xfId="0" applyFont="1" applyFill="1" applyAlignment="1">
      <alignment horizontal="center" wrapText="1"/>
    </xf>
    <xf numFmtId="0" fontId="13" fillId="0" borderId="0" xfId="0" applyFont="1" applyAlignment="1">
      <alignment wrapText="1"/>
    </xf>
    <xf numFmtId="0" fontId="11" fillId="0" borderId="0" xfId="0" applyFont="1"/>
    <xf numFmtId="0" fontId="13" fillId="0" borderId="0" xfId="0" applyFont="1" applyFill="1" applyAlignment="1"/>
    <xf numFmtId="0" fontId="11" fillId="0" borderId="0" xfId="0" applyFont="1" applyAlignment="1">
      <alignment wrapText="1"/>
    </xf>
    <xf numFmtId="0" fontId="11" fillId="0" borderId="0" xfId="0" applyFont="1" applyFill="1" applyAlignment="1">
      <alignment wrapText="1"/>
    </xf>
    <xf numFmtId="0" fontId="11" fillId="0" borderId="0" xfId="0" applyFont="1" applyFill="1" applyAlignment="1"/>
    <xf numFmtId="0" fontId="11" fillId="0" borderId="0" xfId="0" quotePrefix="1" applyFont="1" applyFill="1" applyAlignment="1">
      <alignment wrapText="1"/>
    </xf>
    <xf numFmtId="0" fontId="11" fillId="0" borderId="0" xfId="0" applyFont="1" applyFill="1" applyAlignment="1">
      <alignment horizontal="left"/>
    </xf>
    <xf numFmtId="0" fontId="11" fillId="0" borderId="0" xfId="0" quotePrefix="1" applyFont="1" applyFill="1" applyAlignment="1"/>
    <xf numFmtId="0" fontId="13" fillId="0" borderId="0" xfId="0" quotePrefix="1" applyFont="1" applyFill="1" applyAlignment="1">
      <alignment wrapText="1"/>
    </xf>
    <xf numFmtId="0" fontId="16" fillId="0" borderId="0" xfId="0" applyFont="1" applyFill="1" applyAlignment="1"/>
    <xf numFmtId="16" fontId="13" fillId="0" borderId="0" xfId="0" quotePrefix="1" applyNumberFormat="1" applyFont="1" applyFill="1" applyAlignment="1">
      <alignment wrapText="1"/>
    </xf>
    <xf numFmtId="0" fontId="13" fillId="0" borderId="0" xfId="0" applyFont="1" applyFill="1" applyAlignment="1">
      <alignment wrapText="1"/>
    </xf>
    <xf numFmtId="16" fontId="11" fillId="0" borderId="0" xfId="0" applyNumberFormat="1" applyFont="1" applyFill="1" applyAlignment="1"/>
    <xf numFmtId="0" fontId="14" fillId="0" borderId="0" xfId="0" applyFont="1" applyFill="1" applyAlignment="1">
      <alignment wrapText="1"/>
    </xf>
    <xf numFmtId="0" fontId="17" fillId="0" borderId="0" xfId="0" applyFont="1" applyFill="1" applyAlignment="1">
      <alignment wrapText="1"/>
    </xf>
    <xf numFmtId="0" fontId="11" fillId="0" borderId="0" xfId="0" applyNumberFormat="1" applyFont="1" applyFill="1" applyAlignment="1">
      <alignment wrapText="1"/>
    </xf>
    <xf numFmtId="0" fontId="11" fillId="0" borderId="0" xfId="0" applyFont="1" applyFill="1"/>
    <xf numFmtId="0" fontId="13" fillId="0" borderId="0" xfId="0" applyFont="1" applyAlignment="1">
      <alignment horizontal="center" wrapText="1"/>
    </xf>
    <xf numFmtId="0" fontId="13" fillId="0" borderId="0" xfId="0" applyFont="1" applyAlignment="1">
      <alignment horizontal="center"/>
    </xf>
    <xf numFmtId="0" fontId="20" fillId="0" borderId="0" xfId="0" applyFont="1" applyFill="1" applyBorder="1"/>
    <xf numFmtId="0" fontId="13" fillId="0" borderId="0" xfId="0" applyFont="1" applyFill="1"/>
    <xf numFmtId="16" fontId="11" fillId="0" borderId="0" xfId="0" applyNumberFormat="1" applyFont="1" applyFill="1" applyAlignment="1">
      <alignment wrapText="1"/>
    </xf>
    <xf numFmtId="16" fontId="13" fillId="0" borderId="0" xfId="0" applyNumberFormat="1" applyFont="1" applyFill="1" applyAlignment="1">
      <alignment wrapText="1"/>
    </xf>
    <xf numFmtId="0" fontId="11" fillId="0" borderId="0" xfId="0" applyFont="1" applyFill="1" applyAlignment="1">
      <alignment horizontal="right" wrapText="1"/>
    </xf>
    <xf numFmtId="0" fontId="14" fillId="0" borderId="0" xfId="0" applyFont="1" applyFill="1" applyAlignment="1"/>
    <xf numFmtId="16" fontId="11" fillId="0" borderId="0" xfId="0" quotePrefix="1" applyNumberFormat="1" applyFont="1" applyFill="1" applyAlignment="1">
      <alignment wrapText="1"/>
    </xf>
    <xf numFmtId="16" fontId="11" fillId="0" borderId="0" xfId="0" quotePrefix="1" applyNumberFormat="1" applyFont="1" applyFill="1" applyAlignment="1"/>
    <xf numFmtId="0" fontId="19" fillId="0" borderId="0" xfId="0" applyFont="1" applyFill="1" applyAlignment="1"/>
    <xf numFmtId="0" fontId="14" fillId="0" borderId="0" xfId="0" quotePrefix="1" applyFont="1" applyFill="1" applyAlignment="1"/>
    <xf numFmtId="0" fontId="14" fillId="0" borderId="0" xfId="0" applyFont="1" applyFill="1"/>
    <xf numFmtId="16" fontId="14" fillId="0" borderId="0" xfId="0" applyNumberFormat="1" applyFont="1" applyFill="1"/>
    <xf numFmtId="0" fontId="14" fillId="0" borderId="0" xfId="0" applyNumberFormat="1" applyFont="1" applyFill="1"/>
    <xf numFmtId="0" fontId="13" fillId="0" borderId="0" xfId="0" applyFont="1" applyFill="1" applyAlignment="1">
      <alignment horizontal="center" wrapText="1"/>
    </xf>
    <xf numFmtId="0" fontId="13" fillId="0" borderId="0" xfId="0" applyFont="1" applyFill="1" applyAlignment="1">
      <alignment horizontal="center"/>
    </xf>
  </cellXfs>
  <cellStyles count="1060">
    <cellStyle name="열어 본 하이퍼링크" xfId="2" builtinId="9" hidden="1"/>
    <cellStyle name="열어 본 하이퍼링크" xfId="4" builtinId="9" hidden="1"/>
    <cellStyle name="열어 본 하이퍼링크" xfId="6" builtinId="9" hidden="1"/>
    <cellStyle name="열어 본 하이퍼링크" xfId="8" builtinId="9" hidden="1"/>
    <cellStyle name="열어 본 하이퍼링크" xfId="10" builtinId="9" hidden="1"/>
    <cellStyle name="열어 본 하이퍼링크" xfId="12" builtinId="9" hidden="1"/>
    <cellStyle name="열어 본 하이퍼링크" xfId="14" builtinId="9" hidden="1"/>
    <cellStyle name="열어 본 하이퍼링크" xfId="16" builtinId="9" hidden="1"/>
    <cellStyle name="열어 본 하이퍼링크" xfId="18" builtinId="9" hidden="1"/>
    <cellStyle name="열어 본 하이퍼링크" xfId="20" builtinId="9" hidden="1"/>
    <cellStyle name="열어 본 하이퍼링크" xfId="22" builtinId="9" hidden="1"/>
    <cellStyle name="열어 본 하이퍼링크" xfId="24" builtinId="9" hidden="1"/>
    <cellStyle name="열어 본 하이퍼링크" xfId="26" builtinId="9" hidden="1"/>
    <cellStyle name="열어 본 하이퍼링크" xfId="28" builtinId="9" hidden="1"/>
    <cellStyle name="열어 본 하이퍼링크" xfId="30" builtinId="9" hidden="1"/>
    <cellStyle name="열어 본 하이퍼링크" xfId="32" builtinId="9" hidden="1"/>
    <cellStyle name="열어 본 하이퍼링크" xfId="34" builtinId="9" hidden="1"/>
    <cellStyle name="열어 본 하이퍼링크" xfId="36" builtinId="9" hidden="1"/>
    <cellStyle name="열어 본 하이퍼링크" xfId="38" builtinId="9" hidden="1"/>
    <cellStyle name="열어 본 하이퍼링크" xfId="40" builtinId="9" hidden="1"/>
    <cellStyle name="열어 본 하이퍼링크" xfId="42" builtinId="9" hidden="1"/>
    <cellStyle name="열어 본 하이퍼링크" xfId="44" builtinId="9" hidden="1"/>
    <cellStyle name="열어 본 하이퍼링크" xfId="46" builtinId="9" hidden="1"/>
    <cellStyle name="열어 본 하이퍼링크" xfId="48" builtinId="9" hidden="1"/>
    <cellStyle name="열어 본 하이퍼링크" xfId="50" builtinId="9" hidden="1"/>
    <cellStyle name="열어 본 하이퍼링크" xfId="52" builtinId="9" hidden="1"/>
    <cellStyle name="열어 본 하이퍼링크" xfId="54" builtinId="9" hidden="1"/>
    <cellStyle name="열어 본 하이퍼링크" xfId="56" builtinId="9" hidden="1"/>
    <cellStyle name="열어 본 하이퍼링크" xfId="58" builtinId="9" hidden="1"/>
    <cellStyle name="열어 본 하이퍼링크" xfId="60" builtinId="9" hidden="1"/>
    <cellStyle name="열어 본 하이퍼링크" xfId="62" builtinId="9" hidden="1"/>
    <cellStyle name="열어 본 하이퍼링크" xfId="64" builtinId="9" hidden="1"/>
    <cellStyle name="열어 본 하이퍼링크" xfId="66" builtinId="9" hidden="1"/>
    <cellStyle name="열어 본 하이퍼링크" xfId="68" builtinId="9" hidden="1"/>
    <cellStyle name="열어 본 하이퍼링크" xfId="70" builtinId="9" hidden="1"/>
    <cellStyle name="열어 본 하이퍼링크" xfId="72" builtinId="9" hidden="1"/>
    <cellStyle name="열어 본 하이퍼링크" xfId="74" builtinId="9" hidden="1"/>
    <cellStyle name="열어 본 하이퍼링크" xfId="76" builtinId="9" hidden="1"/>
    <cellStyle name="열어 본 하이퍼링크" xfId="78" builtinId="9" hidden="1"/>
    <cellStyle name="열어 본 하이퍼링크" xfId="79" builtinId="9" hidden="1"/>
    <cellStyle name="열어 본 하이퍼링크" xfId="80" builtinId="9" hidden="1"/>
    <cellStyle name="열어 본 하이퍼링크" xfId="81" builtinId="9" hidden="1"/>
    <cellStyle name="열어 본 하이퍼링크" xfId="82" builtinId="9" hidden="1"/>
    <cellStyle name="열어 본 하이퍼링크" xfId="83" builtinId="9" hidden="1"/>
    <cellStyle name="열어 본 하이퍼링크" xfId="84" builtinId="9" hidden="1"/>
    <cellStyle name="열어 본 하이퍼링크" xfId="85" builtinId="9" hidden="1"/>
    <cellStyle name="열어 본 하이퍼링크" xfId="86" builtinId="9" hidden="1"/>
    <cellStyle name="열어 본 하이퍼링크" xfId="87" builtinId="9" hidden="1"/>
    <cellStyle name="열어 본 하이퍼링크" xfId="88" builtinId="9" hidden="1"/>
    <cellStyle name="열어 본 하이퍼링크" xfId="89" builtinId="9" hidden="1"/>
    <cellStyle name="열어 본 하이퍼링크" xfId="91" builtinId="9" hidden="1"/>
    <cellStyle name="열어 본 하이퍼링크" xfId="93" builtinId="9" hidden="1"/>
    <cellStyle name="열어 본 하이퍼링크" xfId="95" builtinId="9" hidden="1"/>
    <cellStyle name="열어 본 하이퍼링크" xfId="97" builtinId="9" hidden="1"/>
    <cellStyle name="열어 본 하이퍼링크" xfId="99" builtinId="9" hidden="1"/>
    <cellStyle name="열어 본 하이퍼링크" xfId="101" builtinId="9" hidden="1"/>
    <cellStyle name="열어 본 하이퍼링크" xfId="103" builtinId="9" hidden="1"/>
    <cellStyle name="열어 본 하이퍼링크" xfId="105" builtinId="9" hidden="1"/>
    <cellStyle name="열어 본 하이퍼링크" xfId="107" builtinId="9" hidden="1"/>
    <cellStyle name="열어 본 하이퍼링크" xfId="109" builtinId="9" hidden="1"/>
    <cellStyle name="열어 본 하이퍼링크" xfId="111" builtinId="9" hidden="1"/>
    <cellStyle name="열어 본 하이퍼링크" xfId="113" builtinId="9" hidden="1"/>
    <cellStyle name="열어 본 하이퍼링크" xfId="115" builtinId="9" hidden="1"/>
    <cellStyle name="열어 본 하이퍼링크" xfId="117" builtinId="9" hidden="1"/>
    <cellStyle name="열어 본 하이퍼링크" xfId="119" builtinId="9" hidden="1"/>
    <cellStyle name="열어 본 하이퍼링크" xfId="121" builtinId="9" hidden="1"/>
    <cellStyle name="열어 본 하이퍼링크" xfId="123" builtinId="9" hidden="1"/>
    <cellStyle name="열어 본 하이퍼링크" xfId="125" builtinId="9" hidden="1"/>
    <cellStyle name="열어 본 하이퍼링크" xfId="127" builtinId="9" hidden="1"/>
    <cellStyle name="열어 본 하이퍼링크" xfId="129" builtinId="9" hidden="1"/>
    <cellStyle name="열어 본 하이퍼링크" xfId="131" builtinId="9" hidden="1"/>
    <cellStyle name="열어 본 하이퍼링크" xfId="133" builtinId="9" hidden="1"/>
    <cellStyle name="열어 본 하이퍼링크" xfId="135" builtinId="9" hidden="1"/>
    <cellStyle name="열어 본 하이퍼링크" xfId="137" builtinId="9" hidden="1"/>
    <cellStyle name="열어 본 하이퍼링크" xfId="139" builtinId="9" hidden="1"/>
    <cellStyle name="열어 본 하이퍼링크" xfId="141" builtinId="9" hidden="1"/>
    <cellStyle name="열어 본 하이퍼링크" xfId="143" builtinId="9" hidden="1"/>
    <cellStyle name="열어 본 하이퍼링크" xfId="145" builtinId="9" hidden="1"/>
    <cellStyle name="열어 본 하이퍼링크" xfId="146" builtinId="9" hidden="1"/>
    <cellStyle name="열어 본 하이퍼링크" xfId="147" builtinId="9" hidden="1"/>
    <cellStyle name="열어 본 하이퍼링크" xfId="148" builtinId="9" hidden="1"/>
    <cellStyle name="열어 본 하이퍼링크" xfId="149" builtinId="9" hidden="1"/>
    <cellStyle name="열어 본 하이퍼링크" xfId="150" builtinId="9" hidden="1"/>
    <cellStyle name="열어 본 하이퍼링크" xfId="151" builtinId="9" hidden="1"/>
    <cellStyle name="열어 본 하이퍼링크" xfId="152" builtinId="9" hidden="1"/>
    <cellStyle name="열어 본 하이퍼링크" xfId="153" builtinId="9" hidden="1"/>
    <cellStyle name="열어 본 하이퍼링크" xfId="154" builtinId="9" hidden="1"/>
    <cellStyle name="열어 본 하이퍼링크" xfId="155" builtinId="9" hidden="1"/>
    <cellStyle name="열어 본 하이퍼링크" xfId="156" builtinId="9" hidden="1"/>
    <cellStyle name="열어 본 하이퍼링크" xfId="157" builtinId="9" hidden="1"/>
    <cellStyle name="열어 본 하이퍼링크" xfId="158" builtinId="9" hidden="1"/>
    <cellStyle name="열어 본 하이퍼링크" xfId="159" builtinId="9" hidden="1"/>
    <cellStyle name="열어 본 하이퍼링크" xfId="160" builtinId="9" hidden="1"/>
    <cellStyle name="열어 본 하이퍼링크" xfId="162" builtinId="9" hidden="1"/>
    <cellStyle name="열어 본 하이퍼링크" xfId="164" builtinId="9" hidden="1"/>
    <cellStyle name="열어 본 하이퍼링크" xfId="166" builtinId="9" hidden="1"/>
    <cellStyle name="열어 본 하이퍼링크" xfId="168" builtinId="9" hidden="1"/>
    <cellStyle name="열어 본 하이퍼링크" xfId="170" builtinId="9" hidden="1"/>
    <cellStyle name="열어 본 하이퍼링크" xfId="172" builtinId="9" hidden="1"/>
    <cellStyle name="열어 본 하이퍼링크" xfId="174" builtinId="9" hidden="1"/>
    <cellStyle name="열어 본 하이퍼링크" xfId="176" builtinId="9" hidden="1"/>
    <cellStyle name="열어 본 하이퍼링크" xfId="178" builtinId="9" hidden="1"/>
    <cellStyle name="열어 본 하이퍼링크" xfId="180" builtinId="9" hidden="1"/>
    <cellStyle name="열어 본 하이퍼링크" xfId="182" builtinId="9" hidden="1"/>
    <cellStyle name="열어 본 하이퍼링크" xfId="184" builtinId="9" hidden="1"/>
    <cellStyle name="열어 본 하이퍼링크" xfId="186" builtinId="9" hidden="1"/>
    <cellStyle name="열어 본 하이퍼링크" xfId="188" builtinId="9" hidden="1"/>
    <cellStyle name="열어 본 하이퍼링크" xfId="190" builtinId="9" hidden="1"/>
    <cellStyle name="열어 본 하이퍼링크" xfId="192" builtinId="9" hidden="1"/>
    <cellStyle name="열어 본 하이퍼링크" xfId="193" builtinId="9" hidden="1"/>
    <cellStyle name="열어 본 하이퍼링크" xfId="194" builtinId="9" hidden="1"/>
    <cellStyle name="열어 본 하이퍼링크" xfId="195" builtinId="9" hidden="1"/>
    <cellStyle name="열어 본 하이퍼링크" xfId="196" builtinId="9" hidden="1"/>
    <cellStyle name="열어 본 하이퍼링크" xfId="197" builtinId="9" hidden="1"/>
    <cellStyle name="열어 본 하이퍼링크" xfId="198" builtinId="9" hidden="1"/>
    <cellStyle name="열어 본 하이퍼링크" xfId="199" builtinId="9" hidden="1"/>
    <cellStyle name="열어 본 하이퍼링크" xfId="200" builtinId="9" hidden="1"/>
    <cellStyle name="열어 본 하이퍼링크" xfId="201" builtinId="9" hidden="1"/>
    <cellStyle name="열어 본 하이퍼링크" xfId="202" builtinId="9" hidden="1"/>
    <cellStyle name="열어 본 하이퍼링크" xfId="203" builtinId="9" hidden="1"/>
    <cellStyle name="열어 본 하이퍼링크" xfId="204" builtinId="9" hidden="1"/>
    <cellStyle name="열어 본 하이퍼링크" xfId="205" builtinId="9" hidden="1"/>
    <cellStyle name="열어 본 하이퍼링크" xfId="206" builtinId="9" hidden="1"/>
    <cellStyle name="열어 본 하이퍼링크" xfId="207" builtinId="9" hidden="1"/>
    <cellStyle name="열어 본 하이퍼링크" xfId="208" builtinId="9" hidden="1"/>
    <cellStyle name="열어 본 하이퍼링크" xfId="209" builtinId="9" hidden="1"/>
    <cellStyle name="열어 본 하이퍼링크" xfId="211" builtinId="9" hidden="1"/>
    <cellStyle name="열어 본 하이퍼링크" xfId="213" builtinId="9" hidden="1"/>
    <cellStyle name="열어 본 하이퍼링크" xfId="215" builtinId="9" hidden="1"/>
    <cellStyle name="열어 본 하이퍼링크" xfId="217" builtinId="9" hidden="1"/>
    <cellStyle name="열어 본 하이퍼링크" xfId="219" builtinId="9" hidden="1"/>
    <cellStyle name="열어 본 하이퍼링크" xfId="221" builtinId="9" hidden="1"/>
    <cellStyle name="열어 본 하이퍼링크" xfId="223" builtinId="9" hidden="1"/>
    <cellStyle name="열어 본 하이퍼링크" xfId="225" builtinId="9" hidden="1"/>
    <cellStyle name="열어 본 하이퍼링크" xfId="227" builtinId="9" hidden="1"/>
    <cellStyle name="열어 본 하이퍼링크" xfId="229" builtinId="9" hidden="1"/>
    <cellStyle name="열어 본 하이퍼링크" xfId="231" builtinId="9" hidden="1"/>
    <cellStyle name="열어 본 하이퍼링크" xfId="233" builtinId="9" hidden="1"/>
    <cellStyle name="열어 본 하이퍼링크" xfId="235" builtinId="9" hidden="1"/>
    <cellStyle name="열어 본 하이퍼링크" xfId="237" builtinId="9" hidden="1"/>
    <cellStyle name="열어 본 하이퍼링크" xfId="239" builtinId="9" hidden="1"/>
    <cellStyle name="열어 본 하이퍼링크" xfId="241" builtinId="9" hidden="1"/>
    <cellStyle name="열어 본 하이퍼링크" xfId="243" builtinId="9" hidden="1"/>
    <cellStyle name="열어 본 하이퍼링크" xfId="245" builtinId="9" hidden="1"/>
    <cellStyle name="열어 본 하이퍼링크" xfId="247" builtinId="9" hidden="1"/>
    <cellStyle name="열어 본 하이퍼링크" xfId="249" builtinId="9" hidden="1"/>
    <cellStyle name="열어 본 하이퍼링크" xfId="251" builtinId="9" hidden="1"/>
    <cellStyle name="열어 본 하이퍼링크" xfId="253" builtinId="9" hidden="1"/>
    <cellStyle name="열어 본 하이퍼링크" xfId="255" builtinId="9" hidden="1"/>
    <cellStyle name="열어 본 하이퍼링크" xfId="257" builtinId="9" hidden="1"/>
    <cellStyle name="열어 본 하이퍼링크" xfId="259" builtinId="9" hidden="1"/>
    <cellStyle name="열어 본 하이퍼링크" xfId="261" builtinId="9" hidden="1"/>
    <cellStyle name="열어 본 하이퍼링크" xfId="263" builtinId="9" hidden="1"/>
    <cellStyle name="열어 본 하이퍼링크" xfId="265" builtinId="9" hidden="1"/>
    <cellStyle name="열어 본 하이퍼링크" xfId="267" builtinId="9" hidden="1"/>
    <cellStyle name="열어 본 하이퍼링크" xfId="269" builtinId="9" hidden="1"/>
    <cellStyle name="열어 본 하이퍼링크" xfId="271" builtinId="9" hidden="1"/>
    <cellStyle name="열어 본 하이퍼링크" xfId="273" builtinId="9" hidden="1"/>
    <cellStyle name="열어 본 하이퍼링크" xfId="275" builtinId="9" hidden="1"/>
    <cellStyle name="열어 본 하이퍼링크" xfId="277" builtinId="9" hidden="1"/>
    <cellStyle name="열어 본 하이퍼링크" xfId="279" builtinId="9" hidden="1"/>
    <cellStyle name="열어 본 하이퍼링크" xfId="281" builtinId="9" hidden="1"/>
    <cellStyle name="열어 본 하이퍼링크" xfId="283" builtinId="9" hidden="1"/>
    <cellStyle name="열어 본 하이퍼링크" xfId="285" builtinId="9" hidden="1"/>
    <cellStyle name="열어 본 하이퍼링크" xfId="287" builtinId="9" hidden="1"/>
    <cellStyle name="열어 본 하이퍼링크" xfId="289" builtinId="9" hidden="1"/>
    <cellStyle name="열어 본 하이퍼링크" xfId="291" builtinId="9" hidden="1"/>
    <cellStyle name="열어 본 하이퍼링크" xfId="293" builtinId="9" hidden="1"/>
    <cellStyle name="열어 본 하이퍼링크" xfId="295" builtinId="9" hidden="1"/>
    <cellStyle name="열어 본 하이퍼링크" xfId="297" builtinId="9" hidden="1"/>
    <cellStyle name="열어 본 하이퍼링크" xfId="299" builtinId="9" hidden="1"/>
    <cellStyle name="열어 본 하이퍼링크" xfId="301" builtinId="9" hidden="1"/>
    <cellStyle name="열어 본 하이퍼링크" xfId="303" builtinId="9" hidden="1"/>
    <cellStyle name="열어 본 하이퍼링크" xfId="305" builtinId="9" hidden="1"/>
    <cellStyle name="열어 본 하이퍼링크" xfId="307" builtinId="9" hidden="1"/>
    <cellStyle name="열어 본 하이퍼링크" xfId="309" builtinId="9" hidden="1"/>
    <cellStyle name="열어 본 하이퍼링크" xfId="311" builtinId="9" hidden="1"/>
    <cellStyle name="열어 본 하이퍼링크" xfId="313" builtinId="9" hidden="1"/>
    <cellStyle name="열어 본 하이퍼링크" xfId="315" builtinId="9" hidden="1"/>
    <cellStyle name="열어 본 하이퍼링크" xfId="317" builtinId="9" hidden="1"/>
    <cellStyle name="열어 본 하이퍼링크" xfId="319" builtinId="9" hidden="1"/>
    <cellStyle name="열어 본 하이퍼링크" xfId="321" builtinId="9" hidden="1"/>
    <cellStyle name="열어 본 하이퍼링크" xfId="323" builtinId="9" hidden="1"/>
    <cellStyle name="열어 본 하이퍼링크" xfId="324" builtinId="9" hidden="1"/>
    <cellStyle name="열어 본 하이퍼링크" xfId="325" builtinId="9" hidden="1"/>
    <cellStyle name="열어 본 하이퍼링크" xfId="326" builtinId="9" hidden="1"/>
    <cellStyle name="열어 본 하이퍼링크" xfId="327" builtinId="9" hidden="1"/>
    <cellStyle name="열어 본 하이퍼링크" xfId="328" builtinId="9" hidden="1"/>
    <cellStyle name="열어 본 하이퍼링크" xfId="329" builtinId="9" hidden="1"/>
    <cellStyle name="열어 본 하이퍼링크" xfId="330" builtinId="9" hidden="1"/>
    <cellStyle name="열어 본 하이퍼링크" xfId="331" builtinId="9" hidden="1"/>
    <cellStyle name="열어 본 하이퍼링크" xfId="332" builtinId="9" hidden="1"/>
    <cellStyle name="열어 본 하이퍼링크" xfId="333" builtinId="9" hidden="1"/>
    <cellStyle name="열어 본 하이퍼링크" xfId="334" builtinId="9" hidden="1"/>
    <cellStyle name="열어 본 하이퍼링크" xfId="335" builtinId="9" hidden="1"/>
    <cellStyle name="열어 본 하이퍼링크" xfId="336" builtinId="9" hidden="1"/>
    <cellStyle name="열어 본 하이퍼링크" xfId="337" builtinId="9" hidden="1"/>
    <cellStyle name="열어 본 하이퍼링크" xfId="338" builtinId="9" hidden="1"/>
    <cellStyle name="열어 본 하이퍼링크" xfId="340" builtinId="9" hidden="1"/>
    <cellStyle name="열어 본 하이퍼링크" xfId="342" builtinId="9" hidden="1"/>
    <cellStyle name="열어 본 하이퍼링크" xfId="344" builtinId="9" hidden="1"/>
    <cellStyle name="열어 본 하이퍼링크" xfId="346" builtinId="9" hidden="1"/>
    <cellStyle name="열어 본 하이퍼링크" xfId="348" builtinId="9" hidden="1"/>
    <cellStyle name="열어 본 하이퍼링크" xfId="350" builtinId="9" hidden="1"/>
    <cellStyle name="열어 본 하이퍼링크" xfId="352" builtinId="9" hidden="1"/>
    <cellStyle name="열어 본 하이퍼링크" xfId="354" builtinId="9" hidden="1"/>
    <cellStyle name="열어 본 하이퍼링크" xfId="356" builtinId="9" hidden="1"/>
    <cellStyle name="열어 본 하이퍼링크" xfId="358" builtinId="9" hidden="1"/>
    <cellStyle name="열어 본 하이퍼링크" xfId="360" builtinId="9" hidden="1"/>
    <cellStyle name="열어 본 하이퍼링크" xfId="362" builtinId="9" hidden="1"/>
    <cellStyle name="열어 본 하이퍼링크" xfId="364" builtinId="9" hidden="1"/>
    <cellStyle name="열어 본 하이퍼링크" xfId="366" builtinId="9" hidden="1"/>
    <cellStyle name="열어 본 하이퍼링크" xfId="368" builtinId="9" hidden="1"/>
    <cellStyle name="열어 본 하이퍼링크" xfId="370" builtinId="9" hidden="1"/>
    <cellStyle name="열어 본 하이퍼링크" xfId="372" builtinId="9" hidden="1"/>
    <cellStyle name="열어 본 하이퍼링크" xfId="374" builtinId="9" hidden="1"/>
    <cellStyle name="열어 본 하이퍼링크" xfId="376" builtinId="9" hidden="1"/>
    <cellStyle name="열어 본 하이퍼링크" xfId="378" builtinId="9" hidden="1"/>
    <cellStyle name="열어 본 하이퍼링크" xfId="380" builtinId="9" hidden="1"/>
    <cellStyle name="열어 본 하이퍼링크" xfId="382" builtinId="9" hidden="1"/>
    <cellStyle name="열어 본 하이퍼링크" xfId="384" builtinId="9" hidden="1"/>
    <cellStyle name="열어 본 하이퍼링크" xfId="386" builtinId="9" hidden="1"/>
    <cellStyle name="열어 본 하이퍼링크" xfId="388" builtinId="9" hidden="1"/>
    <cellStyle name="열어 본 하이퍼링크" xfId="390" builtinId="9" hidden="1"/>
    <cellStyle name="열어 본 하이퍼링크" xfId="392" builtinId="9" hidden="1"/>
    <cellStyle name="열어 본 하이퍼링크" xfId="394" builtinId="9" hidden="1"/>
    <cellStyle name="열어 본 하이퍼링크" xfId="396" builtinId="9" hidden="1"/>
    <cellStyle name="열어 본 하이퍼링크" xfId="398" builtinId="9" hidden="1"/>
    <cellStyle name="열어 본 하이퍼링크" xfId="400" builtinId="9" hidden="1"/>
    <cellStyle name="열어 본 하이퍼링크" xfId="402" builtinId="9" hidden="1"/>
    <cellStyle name="열어 본 하이퍼링크" xfId="404" builtinId="9" hidden="1"/>
    <cellStyle name="열어 본 하이퍼링크" xfId="406" builtinId="9" hidden="1"/>
    <cellStyle name="열어 본 하이퍼링크" xfId="408" builtinId="9" hidden="1"/>
    <cellStyle name="열어 본 하이퍼링크" xfId="410" builtinId="9" hidden="1"/>
    <cellStyle name="열어 본 하이퍼링크" xfId="412" builtinId="9" hidden="1"/>
    <cellStyle name="열어 본 하이퍼링크" xfId="414" builtinId="9" hidden="1"/>
    <cellStyle name="열어 본 하이퍼링크" xfId="416" builtinId="9" hidden="1"/>
    <cellStyle name="열어 본 하이퍼링크" xfId="418" builtinId="9" hidden="1"/>
    <cellStyle name="열어 본 하이퍼링크" xfId="420" builtinId="9" hidden="1"/>
    <cellStyle name="열어 본 하이퍼링크" xfId="422" builtinId="9" hidden="1"/>
    <cellStyle name="열어 본 하이퍼링크" xfId="424" builtinId="9" hidden="1"/>
    <cellStyle name="열어 본 하이퍼링크" xfId="426" builtinId="9" hidden="1"/>
    <cellStyle name="열어 본 하이퍼링크" xfId="428" builtinId="9" hidden="1"/>
    <cellStyle name="열어 본 하이퍼링크" xfId="430" builtinId="9" hidden="1"/>
    <cellStyle name="열어 본 하이퍼링크" xfId="432" builtinId="9" hidden="1"/>
    <cellStyle name="열어 본 하이퍼링크" xfId="434" builtinId="9" hidden="1"/>
    <cellStyle name="열어 본 하이퍼링크" xfId="436" builtinId="9" hidden="1"/>
    <cellStyle name="열어 본 하이퍼링크" xfId="438" builtinId="9" hidden="1"/>
    <cellStyle name="열어 본 하이퍼링크" xfId="440" builtinId="9" hidden="1"/>
    <cellStyle name="열어 본 하이퍼링크" xfId="442" builtinId="9" hidden="1"/>
    <cellStyle name="열어 본 하이퍼링크" xfId="444" builtinId="9" hidden="1"/>
    <cellStyle name="열어 본 하이퍼링크" xfId="446" builtinId="9" hidden="1"/>
    <cellStyle name="열어 본 하이퍼링크" xfId="448" builtinId="9" hidden="1"/>
    <cellStyle name="열어 본 하이퍼링크" xfId="450" builtinId="9" hidden="1"/>
    <cellStyle name="열어 본 하이퍼링크" xfId="452" builtinId="9" hidden="1"/>
    <cellStyle name="열어 본 하이퍼링크" xfId="454" builtinId="9" hidden="1"/>
    <cellStyle name="열어 본 하이퍼링크" xfId="456" builtinId="9" hidden="1"/>
    <cellStyle name="열어 본 하이퍼링크" xfId="458" builtinId="9" hidden="1"/>
    <cellStyle name="열어 본 하이퍼링크" xfId="460" builtinId="9" hidden="1"/>
    <cellStyle name="열어 본 하이퍼링크" xfId="462" builtinId="9" hidden="1"/>
    <cellStyle name="열어 본 하이퍼링크" xfId="464" builtinId="9" hidden="1"/>
    <cellStyle name="열어 본 하이퍼링크" xfId="466" builtinId="9" hidden="1"/>
    <cellStyle name="열어 본 하이퍼링크" xfId="468" builtinId="9" hidden="1"/>
    <cellStyle name="열어 본 하이퍼링크" xfId="470" builtinId="9" hidden="1"/>
    <cellStyle name="열어 본 하이퍼링크" xfId="472" builtinId="9" hidden="1"/>
    <cellStyle name="열어 본 하이퍼링크" xfId="474" builtinId="9" hidden="1"/>
    <cellStyle name="열어 본 하이퍼링크" xfId="476" builtinId="9" hidden="1"/>
    <cellStyle name="열어 본 하이퍼링크" xfId="478" builtinId="9" hidden="1"/>
    <cellStyle name="열어 본 하이퍼링크" xfId="480" builtinId="9" hidden="1"/>
    <cellStyle name="열어 본 하이퍼링크" xfId="482" builtinId="9" hidden="1"/>
    <cellStyle name="열어 본 하이퍼링크" xfId="484" builtinId="9" hidden="1"/>
    <cellStyle name="열어 본 하이퍼링크" xfId="486" builtinId="9" hidden="1"/>
    <cellStyle name="열어 본 하이퍼링크" xfId="488" builtinId="9" hidden="1"/>
    <cellStyle name="열어 본 하이퍼링크" xfId="490" builtinId="9" hidden="1"/>
    <cellStyle name="열어 본 하이퍼링크" xfId="492" builtinId="9" hidden="1"/>
    <cellStyle name="열어 본 하이퍼링크" xfId="494" builtinId="9" hidden="1"/>
    <cellStyle name="열어 본 하이퍼링크" xfId="496" builtinId="9" hidden="1"/>
    <cellStyle name="열어 본 하이퍼링크" xfId="497" builtinId="9" hidden="1"/>
    <cellStyle name="열어 본 하이퍼링크" xfId="498" builtinId="9" hidden="1"/>
    <cellStyle name="열어 본 하이퍼링크" xfId="499" builtinId="9" hidden="1"/>
    <cellStyle name="열어 본 하이퍼링크" xfId="500" builtinId="9" hidden="1"/>
    <cellStyle name="열어 본 하이퍼링크" xfId="501" builtinId="9" hidden="1"/>
    <cellStyle name="열어 본 하이퍼링크" xfId="502" builtinId="9" hidden="1"/>
    <cellStyle name="열어 본 하이퍼링크" xfId="503" builtinId="9" hidden="1"/>
    <cellStyle name="열어 본 하이퍼링크" xfId="504" builtinId="9" hidden="1"/>
    <cellStyle name="열어 본 하이퍼링크" xfId="505" builtinId="9" hidden="1"/>
    <cellStyle name="열어 본 하이퍼링크" xfId="506" builtinId="9" hidden="1"/>
    <cellStyle name="열어 본 하이퍼링크" xfId="507" builtinId="9" hidden="1"/>
    <cellStyle name="열어 본 하이퍼링크" xfId="508" builtinId="9" hidden="1"/>
    <cellStyle name="열어 본 하이퍼링크" xfId="509" builtinId="9" hidden="1"/>
    <cellStyle name="열어 본 하이퍼링크" xfId="510" builtinId="9" hidden="1"/>
    <cellStyle name="열어 본 하이퍼링크" xfId="511" builtinId="9" hidden="1"/>
    <cellStyle name="열어 본 하이퍼링크" xfId="513" builtinId="9" hidden="1"/>
    <cellStyle name="열어 본 하이퍼링크" xfId="515" builtinId="9" hidden="1"/>
    <cellStyle name="열어 본 하이퍼링크" xfId="517" builtinId="9" hidden="1"/>
    <cellStyle name="열어 본 하이퍼링크" xfId="519" builtinId="9" hidden="1"/>
    <cellStyle name="열어 본 하이퍼링크" xfId="521" builtinId="9" hidden="1"/>
    <cellStyle name="열어 본 하이퍼링크" xfId="523" builtinId="9" hidden="1"/>
    <cellStyle name="열어 본 하이퍼링크" xfId="525" builtinId="9" hidden="1"/>
    <cellStyle name="열어 본 하이퍼링크" xfId="527" builtinId="9" hidden="1"/>
    <cellStyle name="열어 본 하이퍼링크" xfId="529" builtinId="9" hidden="1"/>
    <cellStyle name="열어 본 하이퍼링크" xfId="531" builtinId="9" hidden="1"/>
    <cellStyle name="열어 본 하이퍼링크" xfId="533" builtinId="9" hidden="1"/>
    <cellStyle name="열어 본 하이퍼링크" xfId="535" builtinId="9" hidden="1"/>
    <cellStyle name="열어 본 하이퍼링크" xfId="537" builtinId="9" hidden="1"/>
    <cellStyle name="열어 본 하이퍼링크" xfId="539" builtinId="9" hidden="1"/>
    <cellStyle name="열어 본 하이퍼링크" xfId="541" builtinId="9" hidden="1"/>
    <cellStyle name="열어 본 하이퍼링크" xfId="543" builtinId="9" hidden="1"/>
    <cellStyle name="열어 본 하이퍼링크" xfId="545" builtinId="9" hidden="1"/>
    <cellStyle name="열어 본 하이퍼링크" xfId="547" builtinId="9" hidden="1"/>
    <cellStyle name="열어 본 하이퍼링크" xfId="549" builtinId="9" hidden="1"/>
    <cellStyle name="열어 본 하이퍼링크" xfId="551" builtinId="9" hidden="1"/>
    <cellStyle name="열어 본 하이퍼링크" xfId="553" builtinId="9" hidden="1"/>
    <cellStyle name="열어 본 하이퍼링크" xfId="555" builtinId="9" hidden="1"/>
    <cellStyle name="열어 본 하이퍼링크" xfId="557" builtinId="9" hidden="1"/>
    <cellStyle name="열어 본 하이퍼링크" xfId="559" builtinId="9" hidden="1"/>
    <cellStyle name="열어 본 하이퍼링크" xfId="561" builtinId="9" hidden="1"/>
    <cellStyle name="열어 본 하이퍼링크" xfId="563" builtinId="9" hidden="1"/>
    <cellStyle name="열어 본 하이퍼링크" xfId="565" builtinId="9" hidden="1"/>
    <cellStyle name="열어 본 하이퍼링크" xfId="567" builtinId="9" hidden="1"/>
    <cellStyle name="열어 본 하이퍼링크" xfId="569" builtinId="9" hidden="1"/>
    <cellStyle name="열어 본 하이퍼링크" xfId="571" builtinId="9" hidden="1"/>
    <cellStyle name="열어 본 하이퍼링크" xfId="573" builtinId="9" hidden="1"/>
    <cellStyle name="열어 본 하이퍼링크" xfId="575" builtinId="9" hidden="1"/>
    <cellStyle name="열어 본 하이퍼링크" xfId="577" builtinId="9" hidden="1"/>
    <cellStyle name="열어 본 하이퍼링크" xfId="579" builtinId="9" hidden="1"/>
    <cellStyle name="열어 본 하이퍼링크" xfId="581" builtinId="9" hidden="1"/>
    <cellStyle name="열어 본 하이퍼링크" xfId="583" builtinId="9" hidden="1"/>
    <cellStyle name="열어 본 하이퍼링크" xfId="585" builtinId="9" hidden="1"/>
    <cellStyle name="열어 본 하이퍼링크" xfId="587" builtinId="9" hidden="1"/>
    <cellStyle name="열어 본 하이퍼링크" xfId="589" builtinId="9" hidden="1"/>
    <cellStyle name="열어 본 하이퍼링크" xfId="591" builtinId="9" hidden="1"/>
    <cellStyle name="열어 본 하이퍼링크" xfId="593" builtinId="9" hidden="1"/>
    <cellStyle name="열어 본 하이퍼링크" xfId="595" builtinId="9" hidden="1"/>
    <cellStyle name="열어 본 하이퍼링크" xfId="597" builtinId="9" hidden="1"/>
    <cellStyle name="열어 본 하이퍼링크" xfId="599" builtinId="9" hidden="1"/>
    <cellStyle name="열어 본 하이퍼링크" xfId="601" builtinId="9" hidden="1"/>
    <cellStyle name="열어 본 하이퍼링크" xfId="603" builtinId="9" hidden="1"/>
    <cellStyle name="열어 본 하이퍼링크" xfId="605" builtinId="9" hidden="1"/>
    <cellStyle name="열어 본 하이퍼링크" xfId="607" builtinId="9" hidden="1"/>
    <cellStyle name="열어 본 하이퍼링크" xfId="609" builtinId="9" hidden="1"/>
    <cellStyle name="열어 본 하이퍼링크" xfId="611" builtinId="9" hidden="1"/>
    <cellStyle name="열어 본 하이퍼링크" xfId="613" builtinId="9" hidden="1"/>
    <cellStyle name="열어 본 하이퍼링크" xfId="615" builtinId="9" hidden="1"/>
    <cellStyle name="열어 본 하이퍼링크" xfId="617" builtinId="9" hidden="1"/>
    <cellStyle name="열어 본 하이퍼링크" xfId="619" builtinId="9" hidden="1"/>
    <cellStyle name="열어 본 하이퍼링크" xfId="621" builtinId="9" hidden="1"/>
    <cellStyle name="열어 본 하이퍼링크" xfId="623" builtinId="9" hidden="1"/>
    <cellStyle name="열어 본 하이퍼링크" xfId="625" builtinId="9" hidden="1"/>
    <cellStyle name="열어 본 하이퍼링크" xfId="627" builtinId="9" hidden="1"/>
    <cellStyle name="열어 본 하이퍼링크" xfId="629" builtinId="9" hidden="1"/>
    <cellStyle name="열어 본 하이퍼링크" xfId="631" builtinId="9" hidden="1"/>
    <cellStyle name="열어 본 하이퍼링크" xfId="633" builtinId="9" hidden="1"/>
    <cellStyle name="열어 본 하이퍼링크" xfId="635" builtinId="9" hidden="1"/>
    <cellStyle name="열어 본 하이퍼링크" xfId="637" builtinId="9" hidden="1"/>
    <cellStyle name="열어 본 하이퍼링크" xfId="639" builtinId="9" hidden="1"/>
    <cellStyle name="열어 본 하이퍼링크" xfId="641" builtinId="9" hidden="1"/>
    <cellStyle name="열어 본 하이퍼링크" xfId="643" builtinId="9" hidden="1"/>
    <cellStyle name="열어 본 하이퍼링크" xfId="645" builtinId="9" hidden="1"/>
    <cellStyle name="열어 본 하이퍼링크" xfId="647" builtinId="9" hidden="1"/>
    <cellStyle name="열어 본 하이퍼링크" xfId="649" builtinId="9" hidden="1"/>
    <cellStyle name="열어 본 하이퍼링크" xfId="651" builtinId="9" hidden="1"/>
    <cellStyle name="열어 본 하이퍼링크" xfId="653" builtinId="9" hidden="1"/>
    <cellStyle name="열어 본 하이퍼링크" xfId="655" builtinId="9" hidden="1"/>
    <cellStyle name="열어 본 하이퍼링크" xfId="657" builtinId="9" hidden="1"/>
    <cellStyle name="열어 본 하이퍼링크" xfId="659" builtinId="9" hidden="1"/>
    <cellStyle name="열어 본 하이퍼링크" xfId="661" builtinId="9" hidden="1"/>
    <cellStyle name="열어 본 하이퍼링크" xfId="663" builtinId="9" hidden="1"/>
    <cellStyle name="열어 본 하이퍼링크" xfId="665" builtinId="9" hidden="1"/>
    <cellStyle name="열어 본 하이퍼링크" xfId="667" builtinId="9" hidden="1"/>
    <cellStyle name="열어 본 하이퍼링크" xfId="669" builtinId="9" hidden="1"/>
    <cellStyle name="열어 본 하이퍼링크" xfId="671" builtinId="9" hidden="1"/>
    <cellStyle name="열어 본 하이퍼링크" xfId="673" builtinId="9" hidden="1"/>
    <cellStyle name="열어 본 하이퍼링크" xfId="675" builtinId="9" hidden="1"/>
    <cellStyle name="열어 본 하이퍼링크" xfId="677" builtinId="9" hidden="1"/>
    <cellStyle name="열어 본 하이퍼링크" xfId="679" builtinId="9" hidden="1"/>
    <cellStyle name="열어 본 하이퍼링크" xfId="681" builtinId="9" hidden="1"/>
    <cellStyle name="열어 본 하이퍼링크" xfId="683" builtinId="9" hidden="1"/>
    <cellStyle name="열어 본 하이퍼링크" xfId="685" builtinId="9" hidden="1"/>
    <cellStyle name="열어 본 하이퍼링크" xfId="687" builtinId="9" hidden="1"/>
    <cellStyle name="열어 본 하이퍼링크" xfId="689" builtinId="9" hidden="1"/>
    <cellStyle name="열어 본 하이퍼링크" xfId="691" builtinId="9" hidden="1"/>
    <cellStyle name="열어 본 하이퍼링크" xfId="693" builtinId="9" hidden="1"/>
    <cellStyle name="열어 본 하이퍼링크" xfId="695" builtinId="9" hidden="1"/>
    <cellStyle name="열어 본 하이퍼링크" xfId="697" builtinId="9" hidden="1"/>
    <cellStyle name="열어 본 하이퍼링크" xfId="699" builtinId="9" hidden="1"/>
    <cellStyle name="열어 본 하이퍼링크" xfId="701" builtinId="9" hidden="1"/>
    <cellStyle name="열어 본 하이퍼링크" xfId="703" builtinId="9" hidden="1"/>
    <cellStyle name="열어 본 하이퍼링크" xfId="705" builtinId="9" hidden="1"/>
    <cellStyle name="열어 본 하이퍼링크" xfId="707" builtinId="9" hidden="1"/>
    <cellStyle name="열어 본 하이퍼링크" xfId="709" builtinId="9" hidden="1"/>
    <cellStyle name="열어 본 하이퍼링크" xfId="711" builtinId="9" hidden="1"/>
    <cellStyle name="열어 본 하이퍼링크" xfId="713" builtinId="9" hidden="1"/>
    <cellStyle name="열어 본 하이퍼링크" xfId="715" builtinId="9" hidden="1"/>
    <cellStyle name="열어 본 하이퍼링크" xfId="717" builtinId="9" hidden="1"/>
    <cellStyle name="열어 본 하이퍼링크" xfId="719" builtinId="9" hidden="1"/>
    <cellStyle name="열어 본 하이퍼링크" xfId="721" builtinId="9" hidden="1"/>
    <cellStyle name="열어 본 하이퍼링크" xfId="723" builtinId="9" hidden="1"/>
    <cellStyle name="열어 본 하이퍼링크" xfId="725" builtinId="9" hidden="1"/>
    <cellStyle name="열어 본 하이퍼링크" xfId="727" builtinId="9" hidden="1"/>
    <cellStyle name="열어 본 하이퍼링크" xfId="729" builtinId="9" hidden="1"/>
    <cellStyle name="열어 본 하이퍼링크" xfId="731" builtinId="9" hidden="1"/>
    <cellStyle name="열어 본 하이퍼링크" xfId="733" builtinId="9" hidden="1"/>
    <cellStyle name="열어 본 하이퍼링크" xfId="735" builtinId="9" hidden="1"/>
    <cellStyle name="열어 본 하이퍼링크" xfId="737" builtinId="9" hidden="1"/>
    <cellStyle name="열어 본 하이퍼링크" xfId="739" builtinId="9" hidden="1"/>
    <cellStyle name="열어 본 하이퍼링크" xfId="741" builtinId="9" hidden="1"/>
    <cellStyle name="열어 본 하이퍼링크" xfId="743" builtinId="9" hidden="1"/>
    <cellStyle name="열어 본 하이퍼링크" xfId="745" builtinId="9" hidden="1"/>
    <cellStyle name="열어 본 하이퍼링크" xfId="747" builtinId="9" hidden="1"/>
    <cellStyle name="열어 본 하이퍼링크" xfId="749" builtinId="9" hidden="1"/>
    <cellStyle name="열어 본 하이퍼링크" xfId="751" builtinId="9" hidden="1"/>
    <cellStyle name="열어 본 하이퍼링크" xfId="753" builtinId="9" hidden="1"/>
    <cellStyle name="열어 본 하이퍼링크" xfId="755" builtinId="9" hidden="1"/>
    <cellStyle name="열어 본 하이퍼링크" xfId="757" builtinId="9" hidden="1"/>
    <cellStyle name="열어 본 하이퍼링크" xfId="759" builtinId="9" hidden="1"/>
    <cellStyle name="열어 본 하이퍼링크" xfId="761" builtinId="9" hidden="1"/>
    <cellStyle name="열어 본 하이퍼링크" xfId="763" builtinId="9" hidden="1"/>
    <cellStyle name="열어 본 하이퍼링크" xfId="765" builtinId="9" hidden="1"/>
    <cellStyle name="열어 본 하이퍼링크" xfId="767" builtinId="9" hidden="1"/>
    <cellStyle name="열어 본 하이퍼링크" xfId="769" builtinId="9" hidden="1"/>
    <cellStyle name="열어 본 하이퍼링크" xfId="771" builtinId="9" hidden="1"/>
    <cellStyle name="열어 본 하이퍼링크" xfId="773" builtinId="9" hidden="1"/>
    <cellStyle name="열어 본 하이퍼링크" xfId="775" builtinId="9" hidden="1"/>
    <cellStyle name="열어 본 하이퍼링크" xfId="777" builtinId="9" hidden="1"/>
    <cellStyle name="열어 본 하이퍼링크" xfId="779" builtinId="9" hidden="1"/>
    <cellStyle name="열어 본 하이퍼링크" xfId="781" builtinId="9" hidden="1"/>
    <cellStyle name="열어 본 하이퍼링크" xfId="783" builtinId="9" hidden="1"/>
    <cellStyle name="열어 본 하이퍼링크" xfId="785" builtinId="9" hidden="1"/>
    <cellStyle name="열어 본 하이퍼링크" xfId="787" builtinId="9" hidden="1"/>
    <cellStyle name="열어 본 하이퍼링크" xfId="789" builtinId="9" hidden="1"/>
    <cellStyle name="열어 본 하이퍼링크" xfId="791" builtinId="9" hidden="1"/>
    <cellStyle name="열어 본 하이퍼링크" xfId="793" builtinId="9" hidden="1"/>
    <cellStyle name="열어 본 하이퍼링크" xfId="795" builtinId="9" hidden="1"/>
    <cellStyle name="열어 본 하이퍼링크" xfId="797" builtinId="9" hidden="1"/>
    <cellStyle name="열어 본 하이퍼링크" xfId="799" builtinId="9" hidden="1"/>
    <cellStyle name="열어 본 하이퍼링크" xfId="801" builtinId="9" hidden="1"/>
    <cellStyle name="열어 본 하이퍼링크" xfId="803" builtinId="9" hidden="1"/>
    <cellStyle name="열어 본 하이퍼링크" xfId="805" builtinId="9" hidden="1"/>
    <cellStyle name="열어 본 하이퍼링크" xfId="807" builtinId="9" hidden="1"/>
    <cellStyle name="열어 본 하이퍼링크" xfId="809" builtinId="9" hidden="1"/>
    <cellStyle name="열어 본 하이퍼링크" xfId="811" builtinId="9" hidden="1"/>
    <cellStyle name="열어 본 하이퍼링크" xfId="813" builtinId="9" hidden="1"/>
    <cellStyle name="열어 본 하이퍼링크" xfId="815" builtinId="9" hidden="1"/>
    <cellStyle name="열어 본 하이퍼링크" xfId="817" builtinId="9" hidden="1"/>
    <cellStyle name="열어 본 하이퍼링크" xfId="819" builtinId="9" hidden="1"/>
    <cellStyle name="열어 본 하이퍼링크" xfId="821" builtinId="9" hidden="1"/>
    <cellStyle name="열어 본 하이퍼링크" xfId="823" builtinId="9" hidden="1"/>
    <cellStyle name="열어 본 하이퍼링크" xfId="825" builtinId="9" hidden="1"/>
    <cellStyle name="열어 본 하이퍼링크" xfId="827" builtinId="9" hidden="1"/>
    <cellStyle name="열어 본 하이퍼링크" xfId="829" builtinId="9" hidden="1"/>
    <cellStyle name="열어 본 하이퍼링크" xfId="831" builtinId="9" hidden="1"/>
    <cellStyle name="열어 본 하이퍼링크" xfId="833" builtinId="9" hidden="1"/>
    <cellStyle name="열어 본 하이퍼링크" xfId="835" builtinId="9" hidden="1"/>
    <cellStyle name="열어 본 하이퍼링크" xfId="837" builtinId="9" hidden="1"/>
    <cellStyle name="열어 본 하이퍼링크" xfId="839" builtinId="9" hidden="1"/>
    <cellStyle name="열어 본 하이퍼링크" xfId="841" builtinId="9" hidden="1"/>
    <cellStyle name="열어 본 하이퍼링크" xfId="843" builtinId="9" hidden="1"/>
    <cellStyle name="열어 본 하이퍼링크" xfId="845" builtinId="9" hidden="1"/>
    <cellStyle name="열어 본 하이퍼링크" xfId="847" builtinId="9" hidden="1"/>
    <cellStyle name="열어 본 하이퍼링크" xfId="849" builtinId="9" hidden="1"/>
    <cellStyle name="열어 본 하이퍼링크" xfId="851" builtinId="9" hidden="1"/>
    <cellStyle name="열어 본 하이퍼링크" xfId="853" builtinId="9" hidden="1"/>
    <cellStyle name="열어 본 하이퍼링크" xfId="855" builtinId="9" hidden="1"/>
    <cellStyle name="열어 본 하이퍼링크" xfId="857" builtinId="9" hidden="1"/>
    <cellStyle name="열어 본 하이퍼링크" xfId="859" builtinId="9" hidden="1"/>
    <cellStyle name="열어 본 하이퍼링크" xfId="861" builtinId="9" hidden="1"/>
    <cellStyle name="열어 본 하이퍼링크" xfId="863" builtinId="9" hidden="1"/>
    <cellStyle name="열어 본 하이퍼링크" xfId="865" builtinId="9" hidden="1"/>
    <cellStyle name="열어 본 하이퍼링크" xfId="867" builtinId="9" hidden="1"/>
    <cellStyle name="열어 본 하이퍼링크" xfId="869" builtinId="9" hidden="1"/>
    <cellStyle name="열어 본 하이퍼링크" xfId="871" builtinId="9" hidden="1"/>
    <cellStyle name="열어 본 하이퍼링크" xfId="873" builtinId="9" hidden="1"/>
    <cellStyle name="열어 본 하이퍼링크" xfId="875" builtinId="9" hidden="1"/>
    <cellStyle name="열어 본 하이퍼링크" xfId="877" builtinId="9" hidden="1"/>
    <cellStyle name="열어 본 하이퍼링크" xfId="879" builtinId="9" hidden="1"/>
    <cellStyle name="열어 본 하이퍼링크" xfId="881" builtinId="9" hidden="1"/>
    <cellStyle name="열어 본 하이퍼링크" xfId="883" builtinId="9" hidden="1"/>
    <cellStyle name="열어 본 하이퍼링크" xfId="885" builtinId="9" hidden="1"/>
    <cellStyle name="열어 본 하이퍼링크" xfId="887" builtinId="9" hidden="1"/>
    <cellStyle name="열어 본 하이퍼링크" xfId="889" builtinId="9" hidden="1"/>
    <cellStyle name="열어 본 하이퍼링크" xfId="891" builtinId="9" hidden="1"/>
    <cellStyle name="열어 본 하이퍼링크" xfId="893" builtinId="9" hidden="1"/>
    <cellStyle name="열어 본 하이퍼링크" xfId="895" builtinId="9" hidden="1"/>
    <cellStyle name="열어 본 하이퍼링크" xfId="897" builtinId="9" hidden="1"/>
    <cellStyle name="열어 본 하이퍼링크" xfId="899" builtinId="9" hidden="1"/>
    <cellStyle name="열어 본 하이퍼링크" xfId="901" builtinId="9" hidden="1"/>
    <cellStyle name="열어 본 하이퍼링크" xfId="903" builtinId="9" hidden="1"/>
    <cellStyle name="열어 본 하이퍼링크" xfId="905" builtinId="9" hidden="1"/>
    <cellStyle name="열어 본 하이퍼링크" xfId="907" builtinId="9" hidden="1"/>
    <cellStyle name="열어 본 하이퍼링크" xfId="909" builtinId="9" hidden="1"/>
    <cellStyle name="열어 본 하이퍼링크" xfId="911" builtinId="9" hidden="1"/>
    <cellStyle name="열어 본 하이퍼링크" xfId="913" builtinId="9" hidden="1"/>
    <cellStyle name="열어 본 하이퍼링크" xfId="915" builtinId="9" hidden="1"/>
    <cellStyle name="열어 본 하이퍼링크" xfId="917" builtinId="9" hidden="1"/>
    <cellStyle name="열어 본 하이퍼링크" xfId="919" builtinId="9" hidden="1"/>
    <cellStyle name="열어 본 하이퍼링크" xfId="921" builtinId="9" hidden="1"/>
    <cellStyle name="열어 본 하이퍼링크" xfId="923" builtinId="9" hidden="1"/>
    <cellStyle name="열어 본 하이퍼링크" xfId="925" builtinId="9" hidden="1"/>
    <cellStyle name="열어 본 하이퍼링크" xfId="927" builtinId="9" hidden="1"/>
    <cellStyle name="열어 본 하이퍼링크" xfId="929" builtinId="9" hidden="1"/>
    <cellStyle name="열어 본 하이퍼링크" xfId="931" builtinId="9" hidden="1"/>
    <cellStyle name="열어 본 하이퍼링크" xfId="933" builtinId="9" hidden="1"/>
    <cellStyle name="열어 본 하이퍼링크" xfId="935" builtinId="9" hidden="1"/>
    <cellStyle name="열어 본 하이퍼링크" xfId="937" builtinId="9" hidden="1"/>
    <cellStyle name="열어 본 하이퍼링크" xfId="939" builtinId="9" hidden="1"/>
    <cellStyle name="열어 본 하이퍼링크" xfId="941" builtinId="9" hidden="1"/>
    <cellStyle name="열어 본 하이퍼링크" xfId="943" builtinId="9" hidden="1"/>
    <cellStyle name="열어 본 하이퍼링크" xfId="945" builtinId="9" hidden="1"/>
    <cellStyle name="열어 본 하이퍼링크" xfId="947" builtinId="9" hidden="1"/>
    <cellStyle name="열어 본 하이퍼링크" xfId="949" builtinId="9" hidden="1"/>
    <cellStyle name="열어 본 하이퍼링크" xfId="951" builtinId="9" hidden="1"/>
    <cellStyle name="열어 본 하이퍼링크" xfId="953" builtinId="9" hidden="1"/>
    <cellStyle name="열어 본 하이퍼링크" xfId="955" builtinId="9" hidden="1"/>
    <cellStyle name="열어 본 하이퍼링크" xfId="957" builtinId="9" hidden="1"/>
    <cellStyle name="열어 본 하이퍼링크" xfId="959" builtinId="9" hidden="1"/>
    <cellStyle name="열어 본 하이퍼링크" xfId="961" builtinId="9" hidden="1"/>
    <cellStyle name="열어 본 하이퍼링크" xfId="963" builtinId="9" hidden="1"/>
    <cellStyle name="열어 본 하이퍼링크" xfId="965" builtinId="9" hidden="1"/>
    <cellStyle name="열어 본 하이퍼링크" xfId="967" builtinId="9" hidden="1"/>
    <cellStyle name="열어 본 하이퍼링크" xfId="969" builtinId="9" hidden="1"/>
    <cellStyle name="열어 본 하이퍼링크" xfId="971" builtinId="9" hidden="1"/>
    <cellStyle name="열어 본 하이퍼링크" xfId="973" builtinId="9" hidden="1"/>
    <cellStyle name="열어 본 하이퍼링크" xfId="975" builtinId="9" hidden="1"/>
    <cellStyle name="열어 본 하이퍼링크" xfId="977" builtinId="9" hidden="1"/>
    <cellStyle name="열어 본 하이퍼링크" xfId="979" builtinId="9" hidden="1"/>
    <cellStyle name="열어 본 하이퍼링크" xfId="981" builtinId="9" hidden="1"/>
    <cellStyle name="열어 본 하이퍼링크" xfId="983" builtinId="9" hidden="1"/>
    <cellStyle name="열어 본 하이퍼링크" xfId="985" builtinId="9" hidden="1"/>
    <cellStyle name="열어 본 하이퍼링크" xfId="987" builtinId="9" hidden="1"/>
    <cellStyle name="열어 본 하이퍼링크" xfId="989" builtinId="9" hidden="1"/>
    <cellStyle name="열어 본 하이퍼링크" xfId="991" builtinId="9" hidden="1"/>
    <cellStyle name="열어 본 하이퍼링크" xfId="993" builtinId="9" hidden="1"/>
    <cellStyle name="열어 본 하이퍼링크" xfId="995" builtinId="9" hidden="1"/>
    <cellStyle name="열어 본 하이퍼링크" xfId="997" builtinId="9" hidden="1"/>
    <cellStyle name="열어 본 하이퍼링크" xfId="999" builtinId="9" hidden="1"/>
    <cellStyle name="열어 본 하이퍼링크" xfId="1001" builtinId="9" hidden="1"/>
    <cellStyle name="열어 본 하이퍼링크" xfId="1003" builtinId="9" hidden="1"/>
    <cellStyle name="열어 본 하이퍼링크" xfId="1005" builtinId="9" hidden="1"/>
    <cellStyle name="열어 본 하이퍼링크" xfId="1007" builtinId="9" hidden="1"/>
    <cellStyle name="열어 본 하이퍼링크" xfId="1009" builtinId="9" hidden="1"/>
    <cellStyle name="열어 본 하이퍼링크" xfId="1011" builtinId="9" hidden="1"/>
    <cellStyle name="열어 본 하이퍼링크" xfId="1013" builtinId="9" hidden="1"/>
    <cellStyle name="열어 본 하이퍼링크" xfId="1015" builtinId="9" hidden="1"/>
    <cellStyle name="열어 본 하이퍼링크" xfId="1017" builtinId="9" hidden="1"/>
    <cellStyle name="열어 본 하이퍼링크" xfId="1019" builtinId="9" hidden="1"/>
    <cellStyle name="열어 본 하이퍼링크" xfId="1021" builtinId="9" hidden="1"/>
    <cellStyle name="열어 본 하이퍼링크" xfId="1023" builtinId="9" hidden="1"/>
    <cellStyle name="열어 본 하이퍼링크" xfId="1024" builtinId="9" hidden="1"/>
    <cellStyle name="열어 본 하이퍼링크" xfId="1025" builtinId="9" hidden="1"/>
    <cellStyle name="열어 본 하이퍼링크" xfId="1026" builtinId="9" hidden="1"/>
    <cellStyle name="열어 본 하이퍼링크" xfId="1027" builtinId="9" hidden="1"/>
    <cellStyle name="열어 본 하이퍼링크" xfId="1028" builtinId="9" hidden="1"/>
    <cellStyle name="열어 본 하이퍼링크" xfId="1029" builtinId="9" hidden="1"/>
    <cellStyle name="열어 본 하이퍼링크" xfId="1030" builtinId="9" hidden="1"/>
    <cellStyle name="열어 본 하이퍼링크" xfId="1031" builtinId="9" hidden="1"/>
    <cellStyle name="열어 본 하이퍼링크" xfId="1032" builtinId="9" hidden="1"/>
    <cellStyle name="열어 본 하이퍼링크" xfId="1033" builtinId="9" hidden="1"/>
    <cellStyle name="열어 본 하이퍼링크" xfId="1034" builtinId="9" hidden="1"/>
    <cellStyle name="열어 본 하이퍼링크" xfId="1035" builtinId="9" hidden="1"/>
    <cellStyle name="열어 본 하이퍼링크" xfId="1036" builtinId="9" hidden="1"/>
    <cellStyle name="열어 본 하이퍼링크" xfId="1037" builtinId="9" hidden="1"/>
    <cellStyle name="열어 본 하이퍼링크" xfId="1038" builtinId="9" hidden="1"/>
    <cellStyle name="열어 본 하이퍼링크" xfId="1039" builtinId="9" hidden="1"/>
    <cellStyle name="열어 본 하이퍼링크" xfId="1040" builtinId="9" hidden="1"/>
    <cellStyle name="열어 본 하이퍼링크" xfId="1041" builtinId="9" hidden="1"/>
    <cellStyle name="열어 본 하이퍼링크" xfId="1042" builtinId="9" hidden="1"/>
    <cellStyle name="열어 본 하이퍼링크" xfId="1043" builtinId="9" hidden="1"/>
    <cellStyle name="열어 본 하이퍼링크" xfId="1044" builtinId="9" hidden="1"/>
    <cellStyle name="열어 본 하이퍼링크" xfId="1045" builtinId="9" hidden="1"/>
    <cellStyle name="열어 본 하이퍼링크" xfId="1046" builtinId="9" hidden="1"/>
    <cellStyle name="열어 본 하이퍼링크" xfId="1047" builtinId="9" hidden="1"/>
    <cellStyle name="열어 본 하이퍼링크" xfId="1048" builtinId="9" hidden="1"/>
    <cellStyle name="열어 본 하이퍼링크" xfId="1049" builtinId="9" hidden="1"/>
    <cellStyle name="열어 본 하이퍼링크" xfId="1050" builtinId="9" hidden="1"/>
    <cellStyle name="열어 본 하이퍼링크" xfId="1051" builtinId="9" hidden="1"/>
    <cellStyle name="열어 본 하이퍼링크" xfId="1052" builtinId="9" hidden="1"/>
    <cellStyle name="열어 본 하이퍼링크" xfId="1053" builtinId="9" hidden="1"/>
    <cellStyle name="열어 본 하이퍼링크" xfId="1054" builtinId="9" hidden="1"/>
    <cellStyle name="열어 본 하이퍼링크" xfId="1055" builtinId="9" hidden="1"/>
    <cellStyle name="열어 본 하이퍼링크" xfId="1056" builtinId="9" hidden="1"/>
    <cellStyle name="열어 본 하이퍼링크" xfId="1057" builtinId="9" hidden="1"/>
    <cellStyle name="열어 본 하이퍼링크" xfId="1058" builtinId="9" hidden="1"/>
    <cellStyle name="열어 본 하이퍼링크" xfId="1059" builtinId="9" hidden="1"/>
    <cellStyle name="표준" xfId="0" builtinId="0"/>
    <cellStyle name="하이퍼링크" xfId="1" builtinId="8" hidden="1"/>
    <cellStyle name="하이퍼링크" xfId="3" builtinId="8" hidden="1"/>
    <cellStyle name="하이퍼링크" xfId="5" builtinId="8" hidden="1"/>
    <cellStyle name="하이퍼링크" xfId="7" builtinId="8" hidden="1"/>
    <cellStyle name="하이퍼링크" xfId="9" builtinId="8" hidden="1"/>
    <cellStyle name="하이퍼링크" xfId="11" builtinId="8" hidden="1"/>
    <cellStyle name="하이퍼링크" xfId="13" builtinId="8" hidden="1"/>
    <cellStyle name="하이퍼링크" xfId="15" builtinId="8" hidden="1"/>
    <cellStyle name="하이퍼링크" xfId="17" builtinId="8" hidden="1"/>
    <cellStyle name="하이퍼링크" xfId="19" builtinId="8" hidden="1"/>
    <cellStyle name="하이퍼링크" xfId="21" builtinId="8" hidden="1"/>
    <cellStyle name="하이퍼링크" xfId="23" builtinId="8" hidden="1"/>
    <cellStyle name="하이퍼링크" xfId="25" builtinId="8" hidden="1"/>
    <cellStyle name="하이퍼링크" xfId="27" builtinId="8" hidden="1"/>
    <cellStyle name="하이퍼링크" xfId="29" builtinId="8" hidden="1"/>
    <cellStyle name="하이퍼링크" xfId="31" builtinId="8" hidden="1"/>
    <cellStyle name="하이퍼링크" xfId="33" builtinId="8" hidden="1"/>
    <cellStyle name="하이퍼링크" xfId="35" builtinId="8" hidden="1"/>
    <cellStyle name="하이퍼링크" xfId="37" builtinId="8" hidden="1"/>
    <cellStyle name="하이퍼링크" xfId="39" builtinId="8" hidden="1"/>
    <cellStyle name="하이퍼링크" xfId="41" builtinId="8" hidden="1"/>
    <cellStyle name="하이퍼링크" xfId="43" builtinId="8" hidden="1"/>
    <cellStyle name="하이퍼링크" xfId="45" builtinId="8" hidden="1"/>
    <cellStyle name="하이퍼링크" xfId="47" builtinId="8" hidden="1"/>
    <cellStyle name="하이퍼링크" xfId="49" builtinId="8" hidden="1"/>
    <cellStyle name="하이퍼링크" xfId="51" builtinId="8" hidden="1"/>
    <cellStyle name="하이퍼링크" xfId="53" builtinId="8" hidden="1"/>
    <cellStyle name="하이퍼링크" xfId="55" builtinId="8" hidden="1"/>
    <cellStyle name="하이퍼링크" xfId="57" builtinId="8" hidden="1"/>
    <cellStyle name="하이퍼링크" xfId="59" builtinId="8" hidden="1"/>
    <cellStyle name="하이퍼링크" xfId="61" builtinId="8" hidden="1"/>
    <cellStyle name="하이퍼링크" xfId="63" builtinId="8" hidden="1"/>
    <cellStyle name="하이퍼링크" xfId="65" builtinId="8" hidden="1"/>
    <cellStyle name="하이퍼링크" xfId="67" builtinId="8" hidden="1"/>
    <cellStyle name="하이퍼링크" xfId="69" builtinId="8" hidden="1"/>
    <cellStyle name="하이퍼링크" xfId="71" builtinId="8" hidden="1"/>
    <cellStyle name="하이퍼링크" xfId="73" builtinId="8" hidden="1"/>
    <cellStyle name="하이퍼링크" xfId="75" builtinId="8" hidden="1"/>
    <cellStyle name="하이퍼링크" xfId="77" builtinId="8" hidden="1"/>
    <cellStyle name="하이퍼링크" xfId="90" builtinId="8" hidden="1"/>
    <cellStyle name="하이퍼링크" xfId="92" builtinId="8" hidden="1"/>
    <cellStyle name="하이퍼링크" xfId="94" builtinId="8" hidden="1"/>
    <cellStyle name="하이퍼링크" xfId="96" builtinId="8" hidden="1"/>
    <cellStyle name="하이퍼링크" xfId="98" builtinId="8" hidden="1"/>
    <cellStyle name="하이퍼링크" xfId="100" builtinId="8" hidden="1"/>
    <cellStyle name="하이퍼링크" xfId="102" builtinId="8" hidden="1"/>
    <cellStyle name="하이퍼링크" xfId="104" builtinId="8" hidden="1"/>
    <cellStyle name="하이퍼링크" xfId="106" builtinId="8" hidden="1"/>
    <cellStyle name="하이퍼링크" xfId="108" builtinId="8" hidden="1"/>
    <cellStyle name="하이퍼링크" xfId="110" builtinId="8" hidden="1"/>
    <cellStyle name="하이퍼링크" xfId="112" builtinId="8" hidden="1"/>
    <cellStyle name="하이퍼링크" xfId="114" builtinId="8" hidden="1"/>
    <cellStyle name="하이퍼링크" xfId="116" builtinId="8" hidden="1"/>
    <cellStyle name="하이퍼링크" xfId="118" builtinId="8" hidden="1"/>
    <cellStyle name="하이퍼링크" xfId="120" builtinId="8" hidden="1"/>
    <cellStyle name="하이퍼링크" xfId="122" builtinId="8" hidden="1"/>
    <cellStyle name="하이퍼링크" xfId="124" builtinId="8" hidden="1"/>
    <cellStyle name="하이퍼링크" xfId="126" builtinId="8" hidden="1"/>
    <cellStyle name="하이퍼링크" xfId="128" builtinId="8" hidden="1"/>
    <cellStyle name="하이퍼링크" xfId="130" builtinId="8" hidden="1"/>
    <cellStyle name="하이퍼링크" xfId="132" builtinId="8" hidden="1"/>
    <cellStyle name="하이퍼링크" xfId="134" builtinId="8" hidden="1"/>
    <cellStyle name="하이퍼링크" xfId="136" builtinId="8" hidden="1"/>
    <cellStyle name="하이퍼링크" xfId="138" builtinId="8" hidden="1"/>
    <cellStyle name="하이퍼링크" xfId="140" builtinId="8" hidden="1"/>
    <cellStyle name="하이퍼링크" xfId="142" builtinId="8" hidden="1"/>
    <cellStyle name="하이퍼링크" xfId="144" builtinId="8" hidden="1"/>
    <cellStyle name="하이퍼링크" xfId="161" builtinId="8" hidden="1"/>
    <cellStyle name="하이퍼링크" xfId="163" builtinId="8" hidden="1"/>
    <cellStyle name="하이퍼링크" xfId="165" builtinId="8" hidden="1"/>
    <cellStyle name="하이퍼링크" xfId="167" builtinId="8" hidden="1"/>
    <cellStyle name="하이퍼링크" xfId="169" builtinId="8" hidden="1"/>
    <cellStyle name="하이퍼링크" xfId="171" builtinId="8" hidden="1"/>
    <cellStyle name="하이퍼링크" xfId="173" builtinId="8" hidden="1"/>
    <cellStyle name="하이퍼링크" xfId="175" builtinId="8" hidden="1"/>
    <cellStyle name="하이퍼링크" xfId="177" builtinId="8" hidden="1"/>
    <cellStyle name="하이퍼링크" xfId="179" builtinId="8" hidden="1"/>
    <cellStyle name="하이퍼링크" xfId="181" builtinId="8" hidden="1"/>
    <cellStyle name="하이퍼링크" xfId="183" builtinId="8" hidden="1"/>
    <cellStyle name="하이퍼링크" xfId="185" builtinId="8" hidden="1"/>
    <cellStyle name="하이퍼링크" xfId="187" builtinId="8" hidden="1"/>
    <cellStyle name="하이퍼링크" xfId="189" builtinId="8" hidden="1"/>
    <cellStyle name="하이퍼링크" xfId="191" builtinId="8" hidden="1"/>
    <cellStyle name="하이퍼링크" xfId="210" builtinId="8" hidden="1"/>
    <cellStyle name="하이퍼링크" xfId="212" builtinId="8" hidden="1"/>
    <cellStyle name="하이퍼링크" xfId="214" builtinId="8" hidden="1"/>
    <cellStyle name="하이퍼링크" xfId="216" builtinId="8" hidden="1"/>
    <cellStyle name="하이퍼링크" xfId="218" builtinId="8" hidden="1"/>
    <cellStyle name="하이퍼링크" xfId="220" builtinId="8" hidden="1"/>
    <cellStyle name="하이퍼링크" xfId="222" builtinId="8" hidden="1"/>
    <cellStyle name="하이퍼링크" xfId="224" builtinId="8" hidden="1"/>
    <cellStyle name="하이퍼링크" xfId="226" builtinId="8" hidden="1"/>
    <cellStyle name="하이퍼링크" xfId="228" builtinId="8" hidden="1"/>
    <cellStyle name="하이퍼링크" xfId="230" builtinId="8" hidden="1"/>
    <cellStyle name="하이퍼링크" xfId="232" builtinId="8" hidden="1"/>
    <cellStyle name="하이퍼링크" xfId="234" builtinId="8" hidden="1"/>
    <cellStyle name="하이퍼링크" xfId="236" builtinId="8" hidden="1"/>
    <cellStyle name="하이퍼링크" xfId="238" builtinId="8" hidden="1"/>
    <cellStyle name="하이퍼링크" xfId="240" builtinId="8" hidden="1"/>
    <cellStyle name="하이퍼링크" xfId="242" builtinId="8" hidden="1"/>
    <cellStyle name="하이퍼링크" xfId="244" builtinId="8" hidden="1"/>
    <cellStyle name="하이퍼링크" xfId="246" builtinId="8" hidden="1"/>
    <cellStyle name="하이퍼링크" xfId="248" builtinId="8" hidden="1"/>
    <cellStyle name="하이퍼링크" xfId="250" builtinId="8" hidden="1"/>
    <cellStyle name="하이퍼링크" xfId="252" builtinId="8" hidden="1"/>
    <cellStyle name="하이퍼링크" xfId="254" builtinId="8" hidden="1"/>
    <cellStyle name="하이퍼링크" xfId="256" builtinId="8" hidden="1"/>
    <cellStyle name="하이퍼링크" xfId="258" builtinId="8" hidden="1"/>
    <cellStyle name="하이퍼링크" xfId="260" builtinId="8" hidden="1"/>
    <cellStyle name="하이퍼링크" xfId="262" builtinId="8" hidden="1"/>
    <cellStyle name="하이퍼링크" xfId="264" builtinId="8" hidden="1"/>
    <cellStyle name="하이퍼링크" xfId="266" builtinId="8" hidden="1"/>
    <cellStyle name="하이퍼링크" xfId="268" builtinId="8" hidden="1"/>
    <cellStyle name="하이퍼링크" xfId="270" builtinId="8" hidden="1"/>
    <cellStyle name="하이퍼링크" xfId="272" builtinId="8" hidden="1"/>
    <cellStyle name="하이퍼링크" xfId="274" builtinId="8" hidden="1"/>
    <cellStyle name="하이퍼링크" xfId="276" builtinId="8" hidden="1"/>
    <cellStyle name="하이퍼링크" xfId="278" builtinId="8" hidden="1"/>
    <cellStyle name="하이퍼링크" xfId="280" builtinId="8" hidden="1"/>
    <cellStyle name="하이퍼링크" xfId="282" builtinId="8" hidden="1"/>
    <cellStyle name="하이퍼링크" xfId="284" builtinId="8" hidden="1"/>
    <cellStyle name="하이퍼링크" xfId="286" builtinId="8" hidden="1"/>
    <cellStyle name="하이퍼링크" xfId="288" builtinId="8" hidden="1"/>
    <cellStyle name="하이퍼링크" xfId="290" builtinId="8" hidden="1"/>
    <cellStyle name="하이퍼링크" xfId="292" builtinId="8" hidden="1"/>
    <cellStyle name="하이퍼링크" xfId="294" builtinId="8" hidden="1"/>
    <cellStyle name="하이퍼링크" xfId="296" builtinId="8" hidden="1"/>
    <cellStyle name="하이퍼링크" xfId="298" builtinId="8" hidden="1"/>
    <cellStyle name="하이퍼링크" xfId="300" builtinId="8" hidden="1"/>
    <cellStyle name="하이퍼링크" xfId="302" builtinId="8" hidden="1"/>
    <cellStyle name="하이퍼링크" xfId="304" builtinId="8" hidden="1"/>
    <cellStyle name="하이퍼링크" xfId="306" builtinId="8" hidden="1"/>
    <cellStyle name="하이퍼링크" xfId="308" builtinId="8" hidden="1"/>
    <cellStyle name="하이퍼링크" xfId="310" builtinId="8" hidden="1"/>
    <cellStyle name="하이퍼링크" xfId="312" builtinId="8" hidden="1"/>
    <cellStyle name="하이퍼링크" xfId="314" builtinId="8" hidden="1"/>
    <cellStyle name="하이퍼링크" xfId="316" builtinId="8" hidden="1"/>
    <cellStyle name="하이퍼링크" xfId="318" builtinId="8" hidden="1"/>
    <cellStyle name="하이퍼링크" xfId="320" builtinId="8" hidden="1"/>
    <cellStyle name="하이퍼링크" xfId="322" builtinId="8" hidden="1"/>
    <cellStyle name="하이퍼링크" xfId="339" builtinId="8" hidden="1"/>
    <cellStyle name="하이퍼링크" xfId="341" builtinId="8" hidden="1"/>
    <cellStyle name="하이퍼링크" xfId="343" builtinId="8" hidden="1"/>
    <cellStyle name="하이퍼링크" xfId="345" builtinId="8" hidden="1"/>
    <cellStyle name="하이퍼링크" xfId="347" builtinId="8" hidden="1"/>
    <cellStyle name="하이퍼링크" xfId="349" builtinId="8" hidden="1"/>
    <cellStyle name="하이퍼링크" xfId="351" builtinId="8" hidden="1"/>
    <cellStyle name="하이퍼링크" xfId="353" builtinId="8" hidden="1"/>
    <cellStyle name="하이퍼링크" xfId="355" builtinId="8" hidden="1"/>
    <cellStyle name="하이퍼링크" xfId="357" builtinId="8" hidden="1"/>
    <cellStyle name="하이퍼링크" xfId="359" builtinId="8" hidden="1"/>
    <cellStyle name="하이퍼링크" xfId="361" builtinId="8" hidden="1"/>
    <cellStyle name="하이퍼링크" xfId="363" builtinId="8" hidden="1"/>
    <cellStyle name="하이퍼링크" xfId="365" builtinId="8" hidden="1"/>
    <cellStyle name="하이퍼링크" xfId="367" builtinId="8" hidden="1"/>
    <cellStyle name="하이퍼링크" xfId="369" builtinId="8" hidden="1"/>
    <cellStyle name="하이퍼링크" xfId="371" builtinId="8" hidden="1"/>
    <cellStyle name="하이퍼링크" xfId="373" builtinId="8" hidden="1"/>
    <cellStyle name="하이퍼링크" xfId="375" builtinId="8" hidden="1"/>
    <cellStyle name="하이퍼링크" xfId="377" builtinId="8" hidden="1"/>
    <cellStyle name="하이퍼링크" xfId="379" builtinId="8" hidden="1"/>
    <cellStyle name="하이퍼링크" xfId="381" builtinId="8" hidden="1"/>
    <cellStyle name="하이퍼링크" xfId="383" builtinId="8" hidden="1"/>
    <cellStyle name="하이퍼링크" xfId="385" builtinId="8" hidden="1"/>
    <cellStyle name="하이퍼링크" xfId="387" builtinId="8" hidden="1"/>
    <cellStyle name="하이퍼링크" xfId="389" builtinId="8" hidden="1"/>
    <cellStyle name="하이퍼링크" xfId="391" builtinId="8" hidden="1"/>
    <cellStyle name="하이퍼링크" xfId="393" builtinId="8" hidden="1"/>
    <cellStyle name="하이퍼링크" xfId="395" builtinId="8" hidden="1"/>
    <cellStyle name="하이퍼링크" xfId="397" builtinId="8" hidden="1"/>
    <cellStyle name="하이퍼링크" xfId="399" builtinId="8" hidden="1"/>
    <cellStyle name="하이퍼링크" xfId="401" builtinId="8" hidden="1"/>
    <cellStyle name="하이퍼링크" xfId="403" builtinId="8" hidden="1"/>
    <cellStyle name="하이퍼링크" xfId="405" builtinId="8" hidden="1"/>
    <cellStyle name="하이퍼링크" xfId="407" builtinId="8" hidden="1"/>
    <cellStyle name="하이퍼링크" xfId="409" builtinId="8" hidden="1"/>
    <cellStyle name="하이퍼링크" xfId="411" builtinId="8" hidden="1"/>
    <cellStyle name="하이퍼링크" xfId="413" builtinId="8" hidden="1"/>
    <cellStyle name="하이퍼링크" xfId="415" builtinId="8" hidden="1"/>
    <cellStyle name="하이퍼링크" xfId="417" builtinId="8" hidden="1"/>
    <cellStyle name="하이퍼링크" xfId="419" builtinId="8" hidden="1"/>
    <cellStyle name="하이퍼링크" xfId="421" builtinId="8" hidden="1"/>
    <cellStyle name="하이퍼링크" xfId="423" builtinId="8" hidden="1"/>
    <cellStyle name="하이퍼링크" xfId="425" builtinId="8" hidden="1"/>
    <cellStyle name="하이퍼링크" xfId="427" builtinId="8" hidden="1"/>
    <cellStyle name="하이퍼링크" xfId="429" builtinId="8" hidden="1"/>
    <cellStyle name="하이퍼링크" xfId="431" builtinId="8" hidden="1"/>
    <cellStyle name="하이퍼링크" xfId="433" builtinId="8" hidden="1"/>
    <cellStyle name="하이퍼링크" xfId="435" builtinId="8" hidden="1"/>
    <cellStyle name="하이퍼링크" xfId="437" builtinId="8" hidden="1"/>
    <cellStyle name="하이퍼링크" xfId="439" builtinId="8" hidden="1"/>
    <cellStyle name="하이퍼링크" xfId="441" builtinId="8" hidden="1"/>
    <cellStyle name="하이퍼링크" xfId="443" builtinId="8" hidden="1"/>
    <cellStyle name="하이퍼링크" xfId="445" builtinId="8" hidden="1"/>
    <cellStyle name="하이퍼링크" xfId="447" builtinId="8" hidden="1"/>
    <cellStyle name="하이퍼링크" xfId="449" builtinId="8" hidden="1"/>
    <cellStyle name="하이퍼링크" xfId="451" builtinId="8" hidden="1"/>
    <cellStyle name="하이퍼링크" xfId="453" builtinId="8" hidden="1"/>
    <cellStyle name="하이퍼링크" xfId="455" builtinId="8" hidden="1"/>
    <cellStyle name="하이퍼링크" xfId="457" builtinId="8" hidden="1"/>
    <cellStyle name="하이퍼링크" xfId="459" builtinId="8" hidden="1"/>
    <cellStyle name="하이퍼링크" xfId="461" builtinId="8" hidden="1"/>
    <cellStyle name="하이퍼링크" xfId="463" builtinId="8" hidden="1"/>
    <cellStyle name="하이퍼링크" xfId="465" builtinId="8" hidden="1"/>
    <cellStyle name="하이퍼링크" xfId="467" builtinId="8" hidden="1"/>
    <cellStyle name="하이퍼링크" xfId="469" builtinId="8" hidden="1"/>
    <cellStyle name="하이퍼링크" xfId="471" builtinId="8" hidden="1"/>
    <cellStyle name="하이퍼링크" xfId="473" builtinId="8" hidden="1"/>
    <cellStyle name="하이퍼링크" xfId="475" builtinId="8" hidden="1"/>
    <cellStyle name="하이퍼링크" xfId="477" builtinId="8" hidden="1"/>
    <cellStyle name="하이퍼링크" xfId="479" builtinId="8" hidden="1"/>
    <cellStyle name="하이퍼링크" xfId="481" builtinId="8" hidden="1"/>
    <cellStyle name="하이퍼링크" xfId="483" builtinId="8" hidden="1"/>
    <cellStyle name="하이퍼링크" xfId="485" builtinId="8" hidden="1"/>
    <cellStyle name="하이퍼링크" xfId="487" builtinId="8" hidden="1"/>
    <cellStyle name="하이퍼링크" xfId="489" builtinId="8" hidden="1"/>
    <cellStyle name="하이퍼링크" xfId="491" builtinId="8" hidden="1"/>
    <cellStyle name="하이퍼링크" xfId="493" builtinId="8" hidden="1"/>
    <cellStyle name="하이퍼링크" xfId="495" builtinId="8" hidden="1"/>
    <cellStyle name="하이퍼링크" xfId="512" builtinId="8" hidden="1"/>
    <cellStyle name="하이퍼링크" xfId="514" builtinId="8" hidden="1"/>
    <cellStyle name="하이퍼링크" xfId="516" builtinId="8" hidden="1"/>
    <cellStyle name="하이퍼링크" xfId="518" builtinId="8" hidden="1"/>
    <cellStyle name="하이퍼링크" xfId="520" builtinId="8" hidden="1"/>
    <cellStyle name="하이퍼링크" xfId="522" builtinId="8" hidden="1"/>
    <cellStyle name="하이퍼링크" xfId="524" builtinId="8" hidden="1"/>
    <cellStyle name="하이퍼링크" xfId="526" builtinId="8" hidden="1"/>
    <cellStyle name="하이퍼링크" xfId="528" builtinId="8" hidden="1"/>
    <cellStyle name="하이퍼링크" xfId="530" builtinId="8" hidden="1"/>
    <cellStyle name="하이퍼링크" xfId="532" builtinId="8" hidden="1"/>
    <cellStyle name="하이퍼링크" xfId="534" builtinId="8" hidden="1"/>
    <cellStyle name="하이퍼링크" xfId="536" builtinId="8" hidden="1"/>
    <cellStyle name="하이퍼링크" xfId="538" builtinId="8" hidden="1"/>
    <cellStyle name="하이퍼링크" xfId="540" builtinId="8" hidden="1"/>
    <cellStyle name="하이퍼링크" xfId="542" builtinId="8" hidden="1"/>
    <cellStyle name="하이퍼링크" xfId="544" builtinId="8" hidden="1"/>
    <cellStyle name="하이퍼링크" xfId="546" builtinId="8" hidden="1"/>
    <cellStyle name="하이퍼링크" xfId="548" builtinId="8" hidden="1"/>
    <cellStyle name="하이퍼링크" xfId="550" builtinId="8" hidden="1"/>
    <cellStyle name="하이퍼링크" xfId="552" builtinId="8" hidden="1"/>
    <cellStyle name="하이퍼링크" xfId="554" builtinId="8" hidden="1"/>
    <cellStyle name="하이퍼링크" xfId="556" builtinId="8" hidden="1"/>
    <cellStyle name="하이퍼링크" xfId="558" builtinId="8" hidden="1"/>
    <cellStyle name="하이퍼링크" xfId="560" builtinId="8" hidden="1"/>
    <cellStyle name="하이퍼링크" xfId="562" builtinId="8" hidden="1"/>
    <cellStyle name="하이퍼링크" xfId="564" builtinId="8" hidden="1"/>
    <cellStyle name="하이퍼링크" xfId="566" builtinId="8" hidden="1"/>
    <cellStyle name="하이퍼링크" xfId="568" builtinId="8" hidden="1"/>
    <cellStyle name="하이퍼링크" xfId="570" builtinId="8" hidden="1"/>
    <cellStyle name="하이퍼링크" xfId="572" builtinId="8" hidden="1"/>
    <cellStyle name="하이퍼링크" xfId="574" builtinId="8" hidden="1"/>
    <cellStyle name="하이퍼링크" xfId="576" builtinId="8" hidden="1"/>
    <cellStyle name="하이퍼링크" xfId="578" builtinId="8" hidden="1"/>
    <cellStyle name="하이퍼링크" xfId="580" builtinId="8" hidden="1"/>
    <cellStyle name="하이퍼링크" xfId="582" builtinId="8" hidden="1"/>
    <cellStyle name="하이퍼링크" xfId="584" builtinId="8" hidden="1"/>
    <cellStyle name="하이퍼링크" xfId="586" builtinId="8" hidden="1"/>
    <cellStyle name="하이퍼링크" xfId="588" builtinId="8" hidden="1"/>
    <cellStyle name="하이퍼링크" xfId="590" builtinId="8" hidden="1"/>
    <cellStyle name="하이퍼링크" xfId="592" builtinId="8" hidden="1"/>
    <cellStyle name="하이퍼링크" xfId="594" builtinId="8" hidden="1"/>
    <cellStyle name="하이퍼링크" xfId="596" builtinId="8" hidden="1"/>
    <cellStyle name="하이퍼링크" xfId="598" builtinId="8" hidden="1"/>
    <cellStyle name="하이퍼링크" xfId="600" builtinId="8" hidden="1"/>
    <cellStyle name="하이퍼링크" xfId="602" builtinId="8" hidden="1"/>
    <cellStyle name="하이퍼링크" xfId="604" builtinId="8" hidden="1"/>
    <cellStyle name="하이퍼링크" xfId="606" builtinId="8" hidden="1"/>
    <cellStyle name="하이퍼링크" xfId="608" builtinId="8" hidden="1"/>
    <cellStyle name="하이퍼링크" xfId="610" builtinId="8" hidden="1"/>
    <cellStyle name="하이퍼링크" xfId="612" builtinId="8" hidden="1"/>
    <cellStyle name="하이퍼링크" xfId="614" builtinId="8" hidden="1"/>
    <cellStyle name="하이퍼링크" xfId="616" builtinId="8" hidden="1"/>
    <cellStyle name="하이퍼링크" xfId="618" builtinId="8" hidden="1"/>
    <cellStyle name="하이퍼링크" xfId="620" builtinId="8" hidden="1"/>
    <cellStyle name="하이퍼링크" xfId="622" builtinId="8" hidden="1"/>
    <cellStyle name="하이퍼링크" xfId="624" builtinId="8" hidden="1"/>
    <cellStyle name="하이퍼링크" xfId="626" builtinId="8" hidden="1"/>
    <cellStyle name="하이퍼링크" xfId="628" builtinId="8" hidden="1"/>
    <cellStyle name="하이퍼링크" xfId="630" builtinId="8" hidden="1"/>
    <cellStyle name="하이퍼링크" xfId="632" builtinId="8" hidden="1"/>
    <cellStyle name="하이퍼링크" xfId="634" builtinId="8" hidden="1"/>
    <cellStyle name="하이퍼링크" xfId="636" builtinId="8" hidden="1"/>
    <cellStyle name="하이퍼링크" xfId="638" builtinId="8" hidden="1"/>
    <cellStyle name="하이퍼링크" xfId="640" builtinId="8" hidden="1"/>
    <cellStyle name="하이퍼링크" xfId="642" builtinId="8" hidden="1"/>
    <cellStyle name="하이퍼링크" xfId="644" builtinId="8" hidden="1"/>
    <cellStyle name="하이퍼링크" xfId="646" builtinId="8" hidden="1"/>
    <cellStyle name="하이퍼링크" xfId="648" builtinId="8" hidden="1"/>
    <cellStyle name="하이퍼링크" xfId="650" builtinId="8" hidden="1"/>
    <cellStyle name="하이퍼링크" xfId="652" builtinId="8" hidden="1"/>
    <cellStyle name="하이퍼링크" xfId="654" builtinId="8" hidden="1"/>
    <cellStyle name="하이퍼링크" xfId="656" builtinId="8" hidden="1"/>
    <cellStyle name="하이퍼링크" xfId="658" builtinId="8" hidden="1"/>
    <cellStyle name="하이퍼링크" xfId="660" builtinId="8" hidden="1"/>
    <cellStyle name="하이퍼링크" xfId="662" builtinId="8" hidden="1"/>
    <cellStyle name="하이퍼링크" xfId="664" builtinId="8" hidden="1"/>
    <cellStyle name="하이퍼링크" xfId="666" builtinId="8" hidden="1"/>
    <cellStyle name="하이퍼링크" xfId="668" builtinId="8" hidden="1"/>
    <cellStyle name="하이퍼링크" xfId="670" builtinId="8" hidden="1"/>
    <cellStyle name="하이퍼링크" xfId="672" builtinId="8" hidden="1"/>
    <cellStyle name="하이퍼링크" xfId="674" builtinId="8" hidden="1"/>
    <cellStyle name="하이퍼링크" xfId="676" builtinId="8" hidden="1"/>
    <cellStyle name="하이퍼링크" xfId="678" builtinId="8" hidden="1"/>
    <cellStyle name="하이퍼링크" xfId="680" builtinId="8" hidden="1"/>
    <cellStyle name="하이퍼링크" xfId="682" builtinId="8" hidden="1"/>
    <cellStyle name="하이퍼링크" xfId="684" builtinId="8" hidden="1"/>
    <cellStyle name="하이퍼링크" xfId="686" builtinId="8" hidden="1"/>
    <cellStyle name="하이퍼링크" xfId="688" builtinId="8" hidden="1"/>
    <cellStyle name="하이퍼링크" xfId="690" builtinId="8" hidden="1"/>
    <cellStyle name="하이퍼링크" xfId="692" builtinId="8" hidden="1"/>
    <cellStyle name="하이퍼링크" xfId="694" builtinId="8" hidden="1"/>
    <cellStyle name="하이퍼링크" xfId="696" builtinId="8" hidden="1"/>
    <cellStyle name="하이퍼링크" xfId="698" builtinId="8" hidden="1"/>
    <cellStyle name="하이퍼링크" xfId="700" builtinId="8" hidden="1"/>
    <cellStyle name="하이퍼링크" xfId="702" builtinId="8" hidden="1"/>
    <cellStyle name="하이퍼링크" xfId="704" builtinId="8" hidden="1"/>
    <cellStyle name="하이퍼링크" xfId="706" builtinId="8" hidden="1"/>
    <cellStyle name="하이퍼링크" xfId="708" builtinId="8" hidden="1"/>
    <cellStyle name="하이퍼링크" xfId="710" builtinId="8" hidden="1"/>
    <cellStyle name="하이퍼링크" xfId="712" builtinId="8" hidden="1"/>
    <cellStyle name="하이퍼링크" xfId="714" builtinId="8" hidden="1"/>
    <cellStyle name="하이퍼링크" xfId="716" builtinId="8" hidden="1"/>
    <cellStyle name="하이퍼링크" xfId="718" builtinId="8" hidden="1"/>
    <cellStyle name="하이퍼링크" xfId="720" builtinId="8" hidden="1"/>
    <cellStyle name="하이퍼링크" xfId="722" builtinId="8" hidden="1"/>
    <cellStyle name="하이퍼링크" xfId="724" builtinId="8" hidden="1"/>
    <cellStyle name="하이퍼링크" xfId="726" builtinId="8" hidden="1"/>
    <cellStyle name="하이퍼링크" xfId="728" builtinId="8" hidden="1"/>
    <cellStyle name="하이퍼링크" xfId="730" builtinId="8" hidden="1"/>
    <cellStyle name="하이퍼링크" xfId="732" builtinId="8" hidden="1"/>
    <cellStyle name="하이퍼링크" xfId="734" builtinId="8" hidden="1"/>
    <cellStyle name="하이퍼링크" xfId="736" builtinId="8" hidden="1"/>
    <cellStyle name="하이퍼링크" xfId="738" builtinId="8" hidden="1"/>
    <cellStyle name="하이퍼링크" xfId="740" builtinId="8" hidden="1"/>
    <cellStyle name="하이퍼링크" xfId="742" builtinId="8" hidden="1"/>
    <cellStyle name="하이퍼링크" xfId="744" builtinId="8" hidden="1"/>
    <cellStyle name="하이퍼링크" xfId="746" builtinId="8" hidden="1"/>
    <cellStyle name="하이퍼링크" xfId="748" builtinId="8" hidden="1"/>
    <cellStyle name="하이퍼링크" xfId="750" builtinId="8" hidden="1"/>
    <cellStyle name="하이퍼링크" xfId="752" builtinId="8" hidden="1"/>
    <cellStyle name="하이퍼링크" xfId="754" builtinId="8" hidden="1"/>
    <cellStyle name="하이퍼링크" xfId="756" builtinId="8" hidden="1"/>
    <cellStyle name="하이퍼링크" xfId="758" builtinId="8" hidden="1"/>
    <cellStyle name="하이퍼링크" xfId="760" builtinId="8" hidden="1"/>
    <cellStyle name="하이퍼링크" xfId="762" builtinId="8" hidden="1"/>
    <cellStyle name="하이퍼링크" xfId="764" builtinId="8" hidden="1"/>
    <cellStyle name="하이퍼링크" xfId="766" builtinId="8" hidden="1"/>
    <cellStyle name="하이퍼링크" xfId="768" builtinId="8" hidden="1"/>
    <cellStyle name="하이퍼링크" xfId="770" builtinId="8" hidden="1"/>
    <cellStyle name="하이퍼링크" xfId="772" builtinId="8" hidden="1"/>
    <cellStyle name="하이퍼링크" xfId="774" builtinId="8" hidden="1"/>
    <cellStyle name="하이퍼링크" xfId="776" builtinId="8" hidden="1"/>
    <cellStyle name="하이퍼링크" xfId="778" builtinId="8" hidden="1"/>
    <cellStyle name="하이퍼링크" xfId="780" builtinId="8" hidden="1"/>
    <cellStyle name="하이퍼링크" xfId="782" builtinId="8" hidden="1"/>
    <cellStyle name="하이퍼링크" xfId="784" builtinId="8" hidden="1"/>
    <cellStyle name="하이퍼링크" xfId="786" builtinId="8" hidden="1"/>
    <cellStyle name="하이퍼링크" xfId="788" builtinId="8" hidden="1"/>
    <cellStyle name="하이퍼링크" xfId="790" builtinId="8" hidden="1"/>
    <cellStyle name="하이퍼링크" xfId="792" builtinId="8" hidden="1"/>
    <cellStyle name="하이퍼링크" xfId="794" builtinId="8" hidden="1"/>
    <cellStyle name="하이퍼링크" xfId="796" builtinId="8" hidden="1"/>
    <cellStyle name="하이퍼링크" xfId="798" builtinId="8" hidden="1"/>
    <cellStyle name="하이퍼링크" xfId="800" builtinId="8" hidden="1"/>
    <cellStyle name="하이퍼링크" xfId="802" builtinId="8" hidden="1"/>
    <cellStyle name="하이퍼링크" xfId="804" builtinId="8" hidden="1"/>
    <cellStyle name="하이퍼링크" xfId="806" builtinId="8" hidden="1"/>
    <cellStyle name="하이퍼링크" xfId="808" builtinId="8" hidden="1"/>
    <cellStyle name="하이퍼링크" xfId="810" builtinId="8" hidden="1"/>
    <cellStyle name="하이퍼링크" xfId="812" builtinId="8" hidden="1"/>
    <cellStyle name="하이퍼링크" xfId="814" builtinId="8" hidden="1"/>
    <cellStyle name="하이퍼링크" xfId="816" builtinId="8" hidden="1"/>
    <cellStyle name="하이퍼링크" xfId="818" builtinId="8" hidden="1"/>
    <cellStyle name="하이퍼링크" xfId="820" builtinId="8" hidden="1"/>
    <cellStyle name="하이퍼링크" xfId="822" builtinId="8" hidden="1"/>
    <cellStyle name="하이퍼링크" xfId="824" builtinId="8" hidden="1"/>
    <cellStyle name="하이퍼링크" xfId="826" builtinId="8" hidden="1"/>
    <cellStyle name="하이퍼링크" xfId="828" builtinId="8" hidden="1"/>
    <cellStyle name="하이퍼링크" xfId="830" builtinId="8" hidden="1"/>
    <cellStyle name="하이퍼링크" xfId="832" builtinId="8" hidden="1"/>
    <cellStyle name="하이퍼링크" xfId="834" builtinId="8" hidden="1"/>
    <cellStyle name="하이퍼링크" xfId="836" builtinId="8" hidden="1"/>
    <cellStyle name="하이퍼링크" xfId="838" builtinId="8" hidden="1"/>
    <cellStyle name="하이퍼링크" xfId="840" builtinId="8" hidden="1"/>
    <cellStyle name="하이퍼링크" xfId="842" builtinId="8" hidden="1"/>
    <cellStyle name="하이퍼링크" xfId="844" builtinId="8" hidden="1"/>
    <cellStyle name="하이퍼링크" xfId="846" builtinId="8" hidden="1"/>
    <cellStyle name="하이퍼링크" xfId="848" builtinId="8" hidden="1"/>
    <cellStyle name="하이퍼링크" xfId="850" builtinId="8" hidden="1"/>
    <cellStyle name="하이퍼링크" xfId="852" builtinId="8" hidden="1"/>
    <cellStyle name="하이퍼링크" xfId="854" builtinId="8" hidden="1"/>
    <cellStyle name="하이퍼링크" xfId="856" builtinId="8" hidden="1"/>
    <cellStyle name="하이퍼링크" xfId="858" builtinId="8" hidden="1"/>
    <cellStyle name="하이퍼링크" xfId="860" builtinId="8" hidden="1"/>
    <cellStyle name="하이퍼링크" xfId="862" builtinId="8" hidden="1"/>
    <cellStyle name="하이퍼링크" xfId="864" builtinId="8" hidden="1"/>
    <cellStyle name="하이퍼링크" xfId="866" builtinId="8" hidden="1"/>
    <cellStyle name="하이퍼링크" xfId="868" builtinId="8" hidden="1"/>
    <cellStyle name="하이퍼링크" xfId="870" builtinId="8" hidden="1"/>
    <cellStyle name="하이퍼링크" xfId="872" builtinId="8" hidden="1"/>
    <cellStyle name="하이퍼링크" xfId="874" builtinId="8" hidden="1"/>
    <cellStyle name="하이퍼링크" xfId="876" builtinId="8" hidden="1"/>
    <cellStyle name="하이퍼링크" xfId="878" builtinId="8" hidden="1"/>
    <cellStyle name="하이퍼링크" xfId="880" builtinId="8" hidden="1"/>
    <cellStyle name="하이퍼링크" xfId="882" builtinId="8" hidden="1"/>
    <cellStyle name="하이퍼링크" xfId="884" builtinId="8" hidden="1"/>
    <cellStyle name="하이퍼링크" xfId="886" builtinId="8" hidden="1"/>
    <cellStyle name="하이퍼링크" xfId="888" builtinId="8" hidden="1"/>
    <cellStyle name="하이퍼링크" xfId="890" builtinId="8" hidden="1"/>
    <cellStyle name="하이퍼링크" xfId="892" builtinId="8" hidden="1"/>
    <cellStyle name="하이퍼링크" xfId="894" builtinId="8" hidden="1"/>
    <cellStyle name="하이퍼링크" xfId="896" builtinId="8" hidden="1"/>
    <cellStyle name="하이퍼링크" xfId="898" builtinId="8" hidden="1"/>
    <cellStyle name="하이퍼링크" xfId="900" builtinId="8" hidden="1"/>
    <cellStyle name="하이퍼링크" xfId="902" builtinId="8" hidden="1"/>
    <cellStyle name="하이퍼링크" xfId="904" builtinId="8" hidden="1"/>
    <cellStyle name="하이퍼링크" xfId="906" builtinId="8" hidden="1"/>
    <cellStyle name="하이퍼링크" xfId="908" builtinId="8" hidden="1"/>
    <cellStyle name="하이퍼링크" xfId="910" builtinId="8" hidden="1"/>
    <cellStyle name="하이퍼링크" xfId="912" builtinId="8" hidden="1"/>
    <cellStyle name="하이퍼링크" xfId="914" builtinId="8" hidden="1"/>
    <cellStyle name="하이퍼링크" xfId="916" builtinId="8" hidden="1"/>
    <cellStyle name="하이퍼링크" xfId="918" builtinId="8" hidden="1"/>
    <cellStyle name="하이퍼링크" xfId="920" builtinId="8" hidden="1"/>
    <cellStyle name="하이퍼링크" xfId="922" builtinId="8" hidden="1"/>
    <cellStyle name="하이퍼링크" xfId="924" builtinId="8" hidden="1"/>
    <cellStyle name="하이퍼링크" xfId="926" builtinId="8" hidden="1"/>
    <cellStyle name="하이퍼링크" xfId="928" builtinId="8" hidden="1"/>
    <cellStyle name="하이퍼링크" xfId="930" builtinId="8" hidden="1"/>
    <cellStyle name="하이퍼링크" xfId="932" builtinId="8" hidden="1"/>
    <cellStyle name="하이퍼링크" xfId="934" builtinId="8" hidden="1"/>
    <cellStyle name="하이퍼링크" xfId="936" builtinId="8" hidden="1"/>
    <cellStyle name="하이퍼링크" xfId="938" builtinId="8" hidden="1"/>
    <cellStyle name="하이퍼링크" xfId="940" builtinId="8" hidden="1"/>
    <cellStyle name="하이퍼링크" xfId="942" builtinId="8" hidden="1"/>
    <cellStyle name="하이퍼링크" xfId="944" builtinId="8" hidden="1"/>
    <cellStyle name="하이퍼링크" xfId="946" builtinId="8" hidden="1"/>
    <cellStyle name="하이퍼링크" xfId="948" builtinId="8" hidden="1"/>
    <cellStyle name="하이퍼링크" xfId="950" builtinId="8" hidden="1"/>
    <cellStyle name="하이퍼링크" xfId="952" builtinId="8" hidden="1"/>
    <cellStyle name="하이퍼링크" xfId="954" builtinId="8" hidden="1"/>
    <cellStyle name="하이퍼링크" xfId="956" builtinId="8" hidden="1"/>
    <cellStyle name="하이퍼링크" xfId="958" builtinId="8" hidden="1"/>
    <cellStyle name="하이퍼링크" xfId="960" builtinId="8" hidden="1"/>
    <cellStyle name="하이퍼링크" xfId="962" builtinId="8" hidden="1"/>
    <cellStyle name="하이퍼링크" xfId="964" builtinId="8" hidden="1"/>
    <cellStyle name="하이퍼링크" xfId="966" builtinId="8" hidden="1"/>
    <cellStyle name="하이퍼링크" xfId="968" builtinId="8" hidden="1"/>
    <cellStyle name="하이퍼링크" xfId="970" builtinId="8" hidden="1"/>
    <cellStyle name="하이퍼링크" xfId="972" builtinId="8" hidden="1"/>
    <cellStyle name="하이퍼링크" xfId="974" builtinId="8" hidden="1"/>
    <cellStyle name="하이퍼링크" xfId="976" builtinId="8" hidden="1"/>
    <cellStyle name="하이퍼링크" xfId="978" builtinId="8" hidden="1"/>
    <cellStyle name="하이퍼링크" xfId="980" builtinId="8" hidden="1"/>
    <cellStyle name="하이퍼링크" xfId="982" builtinId="8" hidden="1"/>
    <cellStyle name="하이퍼링크" xfId="984" builtinId="8" hidden="1"/>
    <cellStyle name="하이퍼링크" xfId="986" builtinId="8" hidden="1"/>
    <cellStyle name="하이퍼링크" xfId="988" builtinId="8" hidden="1"/>
    <cellStyle name="하이퍼링크" xfId="990" builtinId="8" hidden="1"/>
    <cellStyle name="하이퍼링크" xfId="992" builtinId="8" hidden="1"/>
    <cellStyle name="하이퍼링크" xfId="994" builtinId="8" hidden="1"/>
    <cellStyle name="하이퍼링크" xfId="996" builtinId="8" hidden="1"/>
    <cellStyle name="하이퍼링크" xfId="998" builtinId="8" hidden="1"/>
    <cellStyle name="하이퍼링크" xfId="1000" builtinId="8" hidden="1"/>
    <cellStyle name="하이퍼링크" xfId="1002" builtinId="8" hidden="1"/>
    <cellStyle name="하이퍼링크" xfId="1004" builtinId="8" hidden="1"/>
    <cellStyle name="하이퍼링크" xfId="1006" builtinId="8" hidden="1"/>
    <cellStyle name="하이퍼링크" xfId="1008" builtinId="8" hidden="1"/>
    <cellStyle name="하이퍼링크" xfId="1010" builtinId="8" hidden="1"/>
    <cellStyle name="하이퍼링크" xfId="1012" builtinId="8" hidden="1"/>
    <cellStyle name="하이퍼링크" xfId="1014" builtinId="8" hidden="1"/>
    <cellStyle name="하이퍼링크" xfId="1016" builtinId="8" hidden="1"/>
    <cellStyle name="하이퍼링크" xfId="1018" builtinId="8" hidden="1"/>
    <cellStyle name="하이퍼링크" xfId="1020" builtinId="8" hidden="1"/>
    <cellStyle name="하이퍼링크" xfId="1022" builtinId="8"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7"/>
  <sheetViews>
    <sheetView tabSelected="1" zoomScale="50" zoomScaleNormal="50" zoomScalePageLayoutView="75" workbookViewId="0">
      <pane xSplit="3" ySplit="1" topLeftCell="D4" activePane="bottomRight" state="frozen"/>
      <selection pane="topRight" activeCell="E1" sqref="E1"/>
      <selection pane="bottomLeft" activeCell="A2" sqref="A2"/>
      <selection pane="bottomRight" activeCell="A4" sqref="A4"/>
    </sheetView>
  </sheetViews>
  <sheetFormatPr defaultColWidth="10.6328125" defaultRowHeight="30"/>
  <cols>
    <col min="1" max="1" width="16.08984375" style="51" customWidth="1"/>
    <col min="2" max="3" width="10.6328125" style="52" customWidth="1"/>
    <col min="4" max="4" width="38.36328125" style="56" hidden="1" customWidth="1"/>
    <col min="5" max="5" width="19.1796875" style="59" hidden="1" customWidth="1"/>
    <col min="6" max="6" width="15.1796875" style="59" hidden="1" customWidth="1"/>
    <col min="7" max="7" width="10.36328125" style="59" hidden="1" customWidth="1"/>
    <col min="8" max="9" width="12.81640625" style="59" hidden="1" customWidth="1"/>
    <col min="10" max="10" width="14.6328125" style="59" hidden="1" customWidth="1"/>
    <col min="11" max="11" width="35.1796875" style="59" hidden="1" customWidth="1"/>
    <col min="12" max="12" width="12.6328125" style="51" hidden="1" customWidth="1"/>
    <col min="13" max="16" width="10.6328125" style="51" hidden="1" customWidth="1"/>
    <col min="17" max="17" width="38.1796875" style="51" hidden="1" customWidth="1"/>
    <col min="18" max="19" width="13.1796875" style="51" hidden="1" customWidth="1"/>
    <col min="20" max="20" width="26.6328125" style="51" hidden="1" customWidth="1"/>
    <col min="21" max="21" width="23.453125" style="74" customWidth="1"/>
    <col min="22" max="22" width="13.453125" style="57" bestFit="1" customWidth="1"/>
    <col min="23" max="23" width="13.453125" style="57" customWidth="1"/>
    <col min="24" max="24" width="19.36328125" style="57" hidden="1" customWidth="1"/>
    <col min="25" max="25" width="13.453125" style="57" bestFit="1" customWidth="1"/>
    <col min="26" max="26" width="13.453125" style="57" customWidth="1"/>
    <col min="27" max="27" width="19.36328125" style="57" hidden="1" customWidth="1"/>
    <col min="28" max="28" width="19.36328125" style="57" customWidth="1"/>
    <col min="29" max="29" width="23.453125" style="74" hidden="1" customWidth="1"/>
    <col min="30" max="30" width="11.81640625" style="59" customWidth="1"/>
    <col min="31" max="31" width="87" style="59" customWidth="1"/>
    <col min="32" max="32" width="30.36328125" style="59" customWidth="1"/>
    <col min="33" max="33" width="35.36328125" style="59" customWidth="1"/>
    <col min="34" max="35" width="10.6328125" style="57"/>
    <col min="36" max="39" width="10.6328125" style="51"/>
    <col min="40" max="42" width="10.6328125" style="57"/>
    <col min="43" max="16384" width="10.6328125" style="51"/>
  </cols>
  <sheetData>
    <row r="1" spans="1:42" s="61" customFormat="1" ht="150">
      <c r="B1" s="54" t="s">
        <v>1139</v>
      </c>
      <c r="C1" s="58" t="s">
        <v>225</v>
      </c>
      <c r="D1" s="53" t="s">
        <v>1041</v>
      </c>
      <c r="E1" s="53" t="s">
        <v>1040</v>
      </c>
      <c r="F1" s="53" t="s">
        <v>1039</v>
      </c>
      <c r="G1" s="53" t="s">
        <v>1038</v>
      </c>
      <c r="H1" s="53" t="s">
        <v>1037</v>
      </c>
      <c r="I1" s="53" t="s">
        <v>1036</v>
      </c>
      <c r="J1" s="53" t="s">
        <v>1035</v>
      </c>
      <c r="K1" s="53" t="s">
        <v>1034</v>
      </c>
      <c r="L1" s="54" t="s">
        <v>1033</v>
      </c>
      <c r="M1" s="54" t="s">
        <v>1032</v>
      </c>
      <c r="N1" s="54" t="s">
        <v>1031</v>
      </c>
      <c r="O1" s="54" t="s">
        <v>1030</v>
      </c>
      <c r="P1" s="54" t="s">
        <v>1029</v>
      </c>
      <c r="Q1" s="54" t="s">
        <v>1028</v>
      </c>
      <c r="R1" s="54" t="s">
        <v>1027</v>
      </c>
      <c r="S1" s="54" t="s">
        <v>275</v>
      </c>
      <c r="T1" s="54" t="s">
        <v>314</v>
      </c>
      <c r="U1" s="55" t="s">
        <v>996</v>
      </c>
      <c r="V1" s="77" t="s">
        <v>1135</v>
      </c>
      <c r="W1" s="77" t="s">
        <v>1137</v>
      </c>
      <c r="X1" s="77" t="s">
        <v>1096</v>
      </c>
      <c r="Y1" s="77" t="s">
        <v>1136</v>
      </c>
      <c r="Z1" s="77" t="s">
        <v>1138</v>
      </c>
      <c r="AA1" s="77" t="s">
        <v>1095</v>
      </c>
      <c r="AB1" s="55" t="s">
        <v>1097</v>
      </c>
      <c r="AC1" s="55" t="s">
        <v>1097</v>
      </c>
      <c r="AD1" s="53" t="s">
        <v>1042</v>
      </c>
      <c r="AE1" s="53" t="s">
        <v>1043</v>
      </c>
      <c r="AF1" s="68" t="s">
        <v>977</v>
      </c>
      <c r="AG1" s="68" t="s">
        <v>1024</v>
      </c>
      <c r="AH1" s="73"/>
      <c r="AI1" s="73"/>
      <c r="AN1" s="73"/>
      <c r="AO1" s="73"/>
      <c r="AP1" s="73"/>
    </row>
    <row r="2" spans="1:42" s="58" customFormat="1" ht="189" customHeight="1">
      <c r="A2" s="58" t="s">
        <v>464</v>
      </c>
      <c r="B2" s="61">
        <v>0</v>
      </c>
      <c r="C2" s="58">
        <v>2008</v>
      </c>
      <c r="D2" s="60" t="s">
        <v>273</v>
      </c>
      <c r="E2" s="60" t="s">
        <v>277</v>
      </c>
      <c r="F2" s="60" t="s">
        <v>276</v>
      </c>
      <c r="G2" s="78" t="s">
        <v>51</v>
      </c>
      <c r="H2" s="60" t="s">
        <v>39</v>
      </c>
      <c r="I2" s="60" t="s">
        <v>267</v>
      </c>
      <c r="J2" s="60" t="s">
        <v>848</v>
      </c>
      <c r="K2" s="60" t="s">
        <v>274</v>
      </c>
      <c r="L2" s="61" t="s">
        <v>39</v>
      </c>
      <c r="M2" s="61" t="s">
        <v>39</v>
      </c>
      <c r="N2" s="61" t="s">
        <v>39</v>
      </c>
      <c r="O2" s="64" t="s">
        <v>345</v>
      </c>
      <c r="P2" s="61" t="s">
        <v>217</v>
      </c>
      <c r="Q2" s="61" t="s">
        <v>51</v>
      </c>
      <c r="R2" s="61" t="s">
        <v>267</v>
      </c>
      <c r="S2" s="61">
        <v>1</v>
      </c>
      <c r="T2" s="61">
        <v>1</v>
      </c>
      <c r="U2" s="79" t="s">
        <v>301</v>
      </c>
      <c r="V2" s="73"/>
      <c r="W2" s="73">
        <f>ROUND(X2,3)</f>
        <v>0.67700000000000005</v>
      </c>
      <c r="X2" s="73">
        <v>0.67669999999999997</v>
      </c>
      <c r="Y2" s="73"/>
      <c r="Z2" s="73">
        <f>ROUND(AA2,3)</f>
        <v>0.67700000000000005</v>
      </c>
      <c r="AA2" s="73">
        <v>0.67669999999999997</v>
      </c>
      <c r="AB2" s="73">
        <f>ROUND(AC2,3)</f>
        <v>0.67700000000000005</v>
      </c>
      <c r="AC2" s="60">
        <f>2/3 +0.01</f>
        <v>0.67666666666666664</v>
      </c>
      <c r="AD2" s="60">
        <v>177</v>
      </c>
      <c r="AE2" s="60" t="s">
        <v>922</v>
      </c>
      <c r="AF2" s="60" t="s">
        <v>1001</v>
      </c>
      <c r="AG2" s="68"/>
    </row>
    <row r="3" spans="1:42" s="61" customFormat="1" ht="64.95" customHeight="1">
      <c r="A3" s="58" t="s">
        <v>465</v>
      </c>
      <c r="B3" s="61">
        <v>0</v>
      </c>
      <c r="C3" s="61">
        <v>1994</v>
      </c>
      <c r="D3" s="60" t="s">
        <v>278</v>
      </c>
      <c r="E3" s="60" t="s">
        <v>40</v>
      </c>
      <c r="F3" s="60" t="s">
        <v>821</v>
      </c>
      <c r="G3" s="78" t="s">
        <v>51</v>
      </c>
      <c r="H3" s="78" t="s">
        <v>51</v>
      </c>
      <c r="I3" s="60" t="s">
        <v>217</v>
      </c>
      <c r="J3" s="60" t="s">
        <v>40</v>
      </c>
      <c r="K3" s="60" t="s">
        <v>40</v>
      </c>
      <c r="L3" s="61" t="s">
        <v>39</v>
      </c>
      <c r="M3" s="61" t="s">
        <v>39</v>
      </c>
      <c r="N3" s="61" t="s">
        <v>39</v>
      </c>
      <c r="O3" s="63">
        <v>99</v>
      </c>
      <c r="P3" s="61" t="s">
        <v>599</v>
      </c>
      <c r="Q3" s="61" t="s">
        <v>51</v>
      </c>
      <c r="R3" s="61" t="s">
        <v>217</v>
      </c>
      <c r="S3" s="61">
        <v>3</v>
      </c>
      <c r="T3" s="61" t="s">
        <v>822</v>
      </c>
      <c r="U3" s="68" t="s">
        <v>1134</v>
      </c>
      <c r="V3" s="73">
        <v>0.09</v>
      </c>
      <c r="W3" s="73">
        <v>0.56000000000000005</v>
      </c>
      <c r="X3" s="73">
        <f>(2/3)+((2/3)*V3)+0.5</f>
        <v>1.2266666666666666</v>
      </c>
      <c r="Y3" s="73">
        <v>0.16500000000000001</v>
      </c>
      <c r="Z3" s="73">
        <f t="shared" ref="Z3:Z67" si="0">ROUND(AA3,3)</f>
        <v>1.2769999999999999</v>
      </c>
      <c r="AA3" s="73">
        <f>(2/3)+((2/3)*Y3)+0.5</f>
        <v>1.2766666666666666</v>
      </c>
      <c r="AB3" s="73">
        <f>AVERAGE(W3,Z3)</f>
        <v>0.91849999999999998</v>
      </c>
      <c r="AC3" s="60">
        <f>2/3*1.5+0.5</f>
        <v>1.5</v>
      </c>
      <c r="AD3" s="60">
        <v>30</v>
      </c>
      <c r="AE3" s="60" t="s">
        <v>155</v>
      </c>
      <c r="AF3" s="60" t="s">
        <v>1000</v>
      </c>
      <c r="AG3" s="60" t="s">
        <v>1045</v>
      </c>
      <c r="AH3" s="73"/>
      <c r="AI3" s="73"/>
      <c r="AN3" s="73"/>
      <c r="AO3" s="73"/>
      <c r="AP3" s="73"/>
    </row>
    <row r="4" spans="1:42" s="61" customFormat="1" ht="205.05" customHeight="1">
      <c r="A4" s="58" t="s">
        <v>466</v>
      </c>
      <c r="B4" s="61">
        <v>1</v>
      </c>
      <c r="C4" s="61">
        <v>1985</v>
      </c>
      <c r="D4" s="60" t="s">
        <v>1004</v>
      </c>
      <c r="E4" s="60" t="s">
        <v>40</v>
      </c>
      <c r="F4" s="70" t="s">
        <v>666</v>
      </c>
      <c r="G4" s="60" t="s">
        <v>55</v>
      </c>
      <c r="H4" s="60" t="s">
        <v>55</v>
      </c>
      <c r="I4" s="60" t="s">
        <v>267</v>
      </c>
      <c r="J4" s="60" t="s">
        <v>288</v>
      </c>
      <c r="K4" s="60" t="s">
        <v>289</v>
      </c>
      <c r="L4" s="61" t="s">
        <v>39</v>
      </c>
      <c r="M4" s="61" t="s">
        <v>39</v>
      </c>
      <c r="N4" s="61" t="s">
        <v>39</v>
      </c>
      <c r="O4" s="61" t="s">
        <v>55</v>
      </c>
      <c r="P4" s="61" t="s">
        <v>217</v>
      </c>
      <c r="Q4" s="61" t="s">
        <v>55</v>
      </c>
      <c r="R4" s="61" t="s">
        <v>217</v>
      </c>
      <c r="S4" s="61">
        <v>3</v>
      </c>
      <c r="T4" s="61" t="s">
        <v>1003</v>
      </c>
      <c r="U4" s="68" t="s">
        <v>1129</v>
      </c>
      <c r="V4" s="73">
        <v>6.7000000000000004E-2</v>
      </c>
      <c r="W4" s="73">
        <v>1.044</v>
      </c>
      <c r="X4" s="73">
        <f>0.51+((0.51*V4))+0.5+0.01</f>
        <v>1.0541700000000001</v>
      </c>
      <c r="Y4" s="73">
        <v>0.16500000000000001</v>
      </c>
      <c r="Z4" s="73">
        <v>1.093</v>
      </c>
      <c r="AA4" s="73">
        <f>0.51+(0.51*Y4)+0.5+0.01</f>
        <v>1.10415</v>
      </c>
      <c r="AB4" s="73">
        <f t="shared" ref="AB4:AB67" si="1">AVERAGE(W4,Z4)</f>
        <v>1.0685</v>
      </c>
      <c r="AC4" s="80">
        <f>0.51*1.5+0.5+0.01</f>
        <v>1.2750000000000001</v>
      </c>
      <c r="AD4" s="60">
        <v>128</v>
      </c>
      <c r="AE4" s="60" t="s">
        <v>54</v>
      </c>
      <c r="AF4" s="60" t="s">
        <v>1002</v>
      </c>
      <c r="AG4" s="60"/>
      <c r="AH4" s="73"/>
      <c r="AI4" s="73"/>
      <c r="AN4" s="73"/>
      <c r="AO4" s="73"/>
      <c r="AP4" s="73"/>
    </row>
    <row r="5" spans="1:42" s="61" customFormat="1" ht="142.05000000000001" customHeight="1">
      <c r="A5" s="58" t="s">
        <v>467</v>
      </c>
      <c r="B5" s="61">
        <v>1</v>
      </c>
      <c r="C5" s="61">
        <v>2013</v>
      </c>
      <c r="D5" s="60" t="s">
        <v>290</v>
      </c>
      <c r="E5" s="60" t="s">
        <v>40</v>
      </c>
      <c r="F5" s="70" t="s">
        <v>666</v>
      </c>
      <c r="G5" s="60" t="s">
        <v>305</v>
      </c>
      <c r="H5" s="60" t="s">
        <v>295</v>
      </c>
      <c r="I5" s="60" t="s">
        <v>217</v>
      </c>
      <c r="J5" s="62" t="s">
        <v>959</v>
      </c>
      <c r="K5" s="60" t="s">
        <v>40</v>
      </c>
      <c r="L5" s="61" t="s">
        <v>39</v>
      </c>
      <c r="M5" s="61" t="s">
        <v>39</v>
      </c>
      <c r="N5" s="61" t="s">
        <v>39</v>
      </c>
      <c r="O5" s="63">
        <v>99</v>
      </c>
      <c r="P5" s="61" t="s">
        <v>267</v>
      </c>
      <c r="Q5" s="61" t="s">
        <v>294</v>
      </c>
      <c r="R5" s="61" t="s">
        <v>291</v>
      </c>
      <c r="S5" s="61">
        <v>1</v>
      </c>
      <c r="T5" s="61">
        <v>1</v>
      </c>
      <c r="U5" s="67" t="s">
        <v>345</v>
      </c>
      <c r="V5" s="73">
        <v>0.114</v>
      </c>
      <c r="W5" s="73">
        <f t="shared" ref="W5:W67" si="2">ROUND(X5,3)</f>
        <v>0.66700000000000004</v>
      </c>
      <c r="X5" s="73">
        <v>0.66666666699999999</v>
      </c>
      <c r="Y5" s="73">
        <v>0.251</v>
      </c>
      <c r="Z5" s="73">
        <f t="shared" si="0"/>
        <v>0.66700000000000004</v>
      </c>
      <c r="AA5" s="73">
        <v>0.66666666699999999</v>
      </c>
      <c r="AB5" s="73">
        <f t="shared" si="1"/>
        <v>0.66700000000000004</v>
      </c>
      <c r="AC5" s="60">
        <f>2/3+0</f>
        <v>0.66666666666666663</v>
      </c>
      <c r="AD5" s="60" t="s">
        <v>44</v>
      </c>
      <c r="AE5" s="60" t="s">
        <v>292</v>
      </c>
      <c r="AF5" s="60"/>
      <c r="AG5" s="60" t="s">
        <v>245</v>
      </c>
      <c r="AH5" s="73"/>
      <c r="AI5" s="73"/>
      <c r="AN5" s="73"/>
      <c r="AO5" s="73"/>
      <c r="AP5" s="73"/>
    </row>
    <row r="6" spans="1:42" s="61" customFormat="1" ht="202.05" customHeight="1">
      <c r="A6" s="58" t="s">
        <v>468</v>
      </c>
      <c r="B6" s="61">
        <v>1</v>
      </c>
      <c r="C6" s="61">
        <v>2012</v>
      </c>
      <c r="D6" s="60" t="s">
        <v>1115</v>
      </c>
      <c r="E6" s="60" t="s">
        <v>40</v>
      </c>
      <c r="F6" s="60" t="s">
        <v>672</v>
      </c>
      <c r="G6" s="60" t="s">
        <v>305</v>
      </c>
      <c r="H6" s="60" t="s">
        <v>305</v>
      </c>
      <c r="I6" s="60" t="s">
        <v>267</v>
      </c>
      <c r="J6" s="60" t="s">
        <v>306</v>
      </c>
      <c r="K6" s="60" t="s">
        <v>40</v>
      </c>
      <c r="L6" s="61" t="s">
        <v>39</v>
      </c>
      <c r="M6" s="61" t="s">
        <v>39</v>
      </c>
      <c r="N6" s="61" t="s">
        <v>39</v>
      </c>
      <c r="O6" s="64" t="s">
        <v>345</v>
      </c>
      <c r="P6" s="61" t="s">
        <v>217</v>
      </c>
      <c r="Q6" s="61" t="s">
        <v>307</v>
      </c>
      <c r="R6" s="61" t="s">
        <v>217</v>
      </c>
      <c r="S6" s="61">
        <v>2</v>
      </c>
      <c r="T6" s="61" t="s">
        <v>316</v>
      </c>
      <c r="U6" s="68" t="s">
        <v>1070</v>
      </c>
      <c r="V6" s="73">
        <v>6.5000000000000002E-2</v>
      </c>
      <c r="W6" s="73">
        <f t="shared" si="2"/>
        <v>0.72</v>
      </c>
      <c r="X6" s="73">
        <f>(2/3)+((2/3)*V6)+0.01</f>
        <v>0.72</v>
      </c>
      <c r="Y6" s="73">
        <v>0.17100000000000001</v>
      </c>
      <c r="Z6" s="73">
        <f t="shared" si="0"/>
        <v>0.79100000000000004</v>
      </c>
      <c r="AA6" s="73">
        <f>(2/3)+((2/3)*Y6)+0.01</f>
        <v>0.79066666666666663</v>
      </c>
      <c r="AB6" s="73">
        <f t="shared" si="1"/>
        <v>0.75550000000000006</v>
      </c>
      <c r="AC6" s="60">
        <f>2/3*1.5+0.01*1</f>
        <v>1.01</v>
      </c>
      <c r="AD6" s="60" t="s">
        <v>303</v>
      </c>
      <c r="AE6" s="60" t="s">
        <v>302</v>
      </c>
      <c r="AF6" s="60"/>
      <c r="AG6" s="60"/>
      <c r="AH6" s="73"/>
      <c r="AI6" s="73"/>
      <c r="AN6" s="73"/>
      <c r="AO6" s="73"/>
      <c r="AP6" s="73"/>
    </row>
    <row r="7" spans="1:42" s="61" customFormat="1" ht="85.05" customHeight="1">
      <c r="A7" s="58" t="s">
        <v>469</v>
      </c>
      <c r="B7" s="61">
        <v>0</v>
      </c>
      <c r="C7" s="61">
        <v>1990</v>
      </c>
      <c r="D7" s="60" t="s">
        <v>309</v>
      </c>
      <c r="E7" s="60" t="s">
        <v>40</v>
      </c>
      <c r="F7" s="60" t="s">
        <v>310</v>
      </c>
      <c r="G7" s="60" t="s">
        <v>311</v>
      </c>
      <c r="H7" s="60" t="s">
        <v>39</v>
      </c>
      <c r="I7" s="60" t="s">
        <v>217</v>
      </c>
      <c r="J7" s="60" t="s">
        <v>40</v>
      </c>
      <c r="K7" s="60" t="s">
        <v>317</v>
      </c>
      <c r="L7" s="61" t="s">
        <v>39</v>
      </c>
      <c r="M7" s="61" t="s">
        <v>39</v>
      </c>
      <c r="N7" s="61" t="s">
        <v>39</v>
      </c>
      <c r="O7" s="61" t="s">
        <v>703</v>
      </c>
      <c r="P7" s="61" t="s">
        <v>267</v>
      </c>
      <c r="Q7" s="61" t="s">
        <v>318</v>
      </c>
      <c r="R7" s="61" t="s">
        <v>267</v>
      </c>
      <c r="S7" s="61">
        <v>2</v>
      </c>
      <c r="T7" s="61" t="s">
        <v>313</v>
      </c>
      <c r="U7" s="68" t="s">
        <v>963</v>
      </c>
      <c r="V7" s="73"/>
      <c r="W7" s="73">
        <f t="shared" si="2"/>
        <v>1.25</v>
      </c>
      <c r="X7" s="73">
        <v>1.25</v>
      </c>
      <c r="Y7" s="73" t="s">
        <v>1044</v>
      </c>
      <c r="Z7" s="73">
        <f t="shared" si="0"/>
        <v>1.25</v>
      </c>
      <c r="AA7" s="73">
        <v>1.25</v>
      </c>
      <c r="AB7" s="73">
        <f t="shared" si="1"/>
        <v>1.25</v>
      </c>
      <c r="AC7" s="60">
        <f>3/4+0.5+0</f>
        <v>1.25</v>
      </c>
      <c r="AD7" s="60" t="s">
        <v>223</v>
      </c>
      <c r="AE7" s="60" t="s">
        <v>312</v>
      </c>
      <c r="AF7" s="60"/>
      <c r="AG7" s="60"/>
      <c r="AH7" s="73"/>
      <c r="AI7" s="73"/>
      <c r="AN7" s="73"/>
      <c r="AO7" s="73"/>
      <c r="AP7" s="73"/>
    </row>
    <row r="8" spans="1:42" s="61" customFormat="1" ht="123" customHeight="1">
      <c r="A8" s="58" t="s">
        <v>470</v>
      </c>
      <c r="B8" s="61">
        <v>0</v>
      </c>
      <c r="C8" s="61" t="s">
        <v>219</v>
      </c>
      <c r="D8" s="60" t="s">
        <v>1005</v>
      </c>
      <c r="E8" s="60" t="s">
        <v>40</v>
      </c>
      <c r="F8" s="60" t="s">
        <v>319</v>
      </c>
      <c r="G8" s="60" t="s">
        <v>320</v>
      </c>
      <c r="H8" s="60" t="s">
        <v>326</v>
      </c>
      <c r="I8" s="60" t="s">
        <v>217</v>
      </c>
      <c r="J8" s="60" t="s">
        <v>327</v>
      </c>
      <c r="K8" s="60" t="s">
        <v>321</v>
      </c>
      <c r="L8" s="61" t="s">
        <v>39</v>
      </c>
      <c r="M8" s="61" t="s">
        <v>39</v>
      </c>
      <c r="N8" s="61" t="s">
        <v>39</v>
      </c>
      <c r="O8" s="61" t="s">
        <v>703</v>
      </c>
      <c r="P8" s="61" t="s">
        <v>267</v>
      </c>
      <c r="Q8" s="61" t="s">
        <v>322</v>
      </c>
      <c r="R8" s="61" t="s">
        <v>217</v>
      </c>
      <c r="S8" s="61">
        <v>2</v>
      </c>
      <c r="T8" s="61" t="s">
        <v>989</v>
      </c>
      <c r="U8" s="68" t="s">
        <v>990</v>
      </c>
      <c r="V8" s="76">
        <v>3.9E-2</v>
      </c>
      <c r="W8" s="73">
        <f t="shared" si="2"/>
        <v>1.167</v>
      </c>
      <c r="X8" s="73">
        <v>1.1666666670000001</v>
      </c>
      <c r="Y8" s="76">
        <v>5.3999999999999999E-2</v>
      </c>
      <c r="Z8" s="73">
        <f t="shared" si="0"/>
        <v>1.167</v>
      </c>
      <c r="AA8" s="73">
        <v>1.1666666670000001</v>
      </c>
      <c r="AB8" s="73">
        <f t="shared" si="1"/>
        <v>1.167</v>
      </c>
      <c r="AC8" s="60">
        <f>2/3+0.5</f>
        <v>1.1666666666666665</v>
      </c>
      <c r="AD8" s="60">
        <v>411</v>
      </c>
      <c r="AE8" s="60" t="s">
        <v>233</v>
      </c>
      <c r="AF8" s="60" t="s">
        <v>1026</v>
      </c>
    </row>
    <row r="9" spans="1:42" s="61" customFormat="1" ht="112.05" customHeight="1">
      <c r="A9" s="58" t="s">
        <v>471</v>
      </c>
      <c r="B9" s="61">
        <v>0</v>
      </c>
      <c r="C9" s="61">
        <v>2002</v>
      </c>
      <c r="D9" s="60" t="s">
        <v>957</v>
      </c>
      <c r="E9" s="60" t="s">
        <v>40</v>
      </c>
      <c r="F9" s="60" t="s">
        <v>666</v>
      </c>
      <c r="G9" s="62" t="s">
        <v>345</v>
      </c>
      <c r="H9" s="60" t="s">
        <v>39</v>
      </c>
      <c r="I9" s="60" t="s">
        <v>267</v>
      </c>
      <c r="J9" s="60" t="s">
        <v>851</v>
      </c>
      <c r="K9" s="60" t="s">
        <v>665</v>
      </c>
      <c r="L9" s="60" t="s">
        <v>39</v>
      </c>
      <c r="M9" s="60" t="s">
        <v>39</v>
      </c>
      <c r="N9" s="60" t="s">
        <v>39</v>
      </c>
      <c r="O9" s="63">
        <v>99</v>
      </c>
      <c r="P9" s="60" t="s">
        <v>267</v>
      </c>
      <c r="Q9" s="64" t="s">
        <v>51</v>
      </c>
      <c r="R9" s="61" t="s">
        <v>267</v>
      </c>
      <c r="S9" s="61">
        <v>1</v>
      </c>
      <c r="T9" s="61" t="s">
        <v>417</v>
      </c>
      <c r="U9" s="65" t="s">
        <v>345</v>
      </c>
      <c r="V9" s="73"/>
      <c r="W9" s="73">
        <f t="shared" si="2"/>
        <v>0.66700000000000004</v>
      </c>
      <c r="X9" s="73">
        <v>0.66669999999999996</v>
      </c>
      <c r="Y9" s="73" t="s">
        <v>1044</v>
      </c>
      <c r="Z9" s="73">
        <f t="shared" si="0"/>
        <v>0.66700000000000004</v>
      </c>
      <c r="AA9" s="73">
        <v>0.66669999999999996</v>
      </c>
      <c r="AB9" s="73">
        <f t="shared" si="1"/>
        <v>0.66700000000000004</v>
      </c>
      <c r="AC9" s="60">
        <f>2/3+0</f>
        <v>0.66666666666666663</v>
      </c>
      <c r="AD9" s="60" t="s">
        <v>328</v>
      </c>
      <c r="AE9" s="60" t="s">
        <v>329</v>
      </c>
      <c r="AF9" s="60" t="s">
        <v>1047</v>
      </c>
      <c r="AG9" s="60"/>
    </row>
    <row r="10" spans="1:42" s="61" customFormat="1" ht="108" customHeight="1">
      <c r="A10" s="58" t="s">
        <v>472</v>
      </c>
      <c r="B10" s="61">
        <v>0</v>
      </c>
      <c r="C10" s="61">
        <v>2014</v>
      </c>
      <c r="D10" s="60" t="s">
        <v>336</v>
      </c>
      <c r="E10" s="60" t="s">
        <v>332</v>
      </c>
      <c r="F10" s="60" t="s">
        <v>330</v>
      </c>
      <c r="G10" s="60" t="s">
        <v>331</v>
      </c>
      <c r="H10" s="60" t="s">
        <v>331</v>
      </c>
      <c r="I10" s="60" t="s">
        <v>217</v>
      </c>
      <c r="J10" s="60" t="s">
        <v>40</v>
      </c>
      <c r="K10" s="60" t="s">
        <v>40</v>
      </c>
      <c r="L10" s="61" t="s">
        <v>39</v>
      </c>
      <c r="M10" s="61" t="s">
        <v>39</v>
      </c>
      <c r="N10" s="61" t="s">
        <v>39</v>
      </c>
      <c r="P10" s="61" t="s">
        <v>599</v>
      </c>
      <c r="Q10" s="61" t="s">
        <v>333</v>
      </c>
      <c r="R10" s="81" t="s">
        <v>217</v>
      </c>
      <c r="S10" s="81">
        <v>2</v>
      </c>
      <c r="T10" s="61" t="s">
        <v>334</v>
      </c>
      <c r="U10" s="68" t="s">
        <v>1071</v>
      </c>
      <c r="V10" s="73">
        <v>5.7000000000000002E-2</v>
      </c>
      <c r="W10" s="73">
        <f t="shared" si="2"/>
        <v>0.64400000000000002</v>
      </c>
      <c r="X10" s="73">
        <f>0.6 +(0.6*V10)+0.01</f>
        <v>0.64419999999999999</v>
      </c>
      <c r="Y10" s="73">
        <v>0.153</v>
      </c>
      <c r="Z10" s="73">
        <f t="shared" si="0"/>
        <v>0.70199999999999996</v>
      </c>
      <c r="AA10" s="73">
        <f>0.6+(0.6*Y10)+0.01</f>
        <v>0.70179999999999998</v>
      </c>
      <c r="AB10" s="73">
        <f t="shared" si="1"/>
        <v>0.67300000000000004</v>
      </c>
      <c r="AC10" s="60">
        <f>1.5*3/5+0.01</f>
        <v>0.91</v>
      </c>
      <c r="AD10" s="60">
        <v>60</v>
      </c>
      <c r="AE10" s="60" t="s">
        <v>255</v>
      </c>
      <c r="AF10" s="60"/>
      <c r="AG10" s="60"/>
      <c r="AH10" s="73"/>
      <c r="AI10" s="73"/>
      <c r="AN10" s="73"/>
      <c r="AO10" s="73"/>
      <c r="AP10" s="73"/>
    </row>
    <row r="11" spans="1:42" s="61" customFormat="1" ht="202.05" customHeight="1">
      <c r="A11" s="58" t="s">
        <v>473</v>
      </c>
      <c r="B11" s="61">
        <v>0</v>
      </c>
      <c r="C11" s="61">
        <v>2007</v>
      </c>
      <c r="D11" s="60" t="s">
        <v>337</v>
      </c>
      <c r="E11" s="60" t="s">
        <v>40</v>
      </c>
      <c r="F11" s="60" t="s">
        <v>339</v>
      </c>
      <c r="G11" s="60" t="s">
        <v>340</v>
      </c>
      <c r="H11" s="60" t="s">
        <v>39</v>
      </c>
      <c r="I11" s="60" t="s">
        <v>217</v>
      </c>
      <c r="J11" s="60" t="s">
        <v>40</v>
      </c>
      <c r="K11" s="60" t="s">
        <v>40</v>
      </c>
      <c r="L11" s="61" t="s">
        <v>39</v>
      </c>
      <c r="M11" s="61" t="s">
        <v>39</v>
      </c>
      <c r="N11" s="61" t="s">
        <v>39</v>
      </c>
      <c r="O11" s="61" t="s">
        <v>703</v>
      </c>
      <c r="P11" s="61" t="s">
        <v>704</v>
      </c>
      <c r="Q11" s="61" t="s">
        <v>860</v>
      </c>
      <c r="R11" s="61" t="s">
        <v>267</v>
      </c>
      <c r="S11" s="61">
        <v>1</v>
      </c>
      <c r="T11" s="61" t="s">
        <v>341</v>
      </c>
      <c r="U11" s="68" t="s">
        <v>966</v>
      </c>
      <c r="V11" s="73"/>
      <c r="W11" s="73">
        <f t="shared" si="2"/>
        <v>0.77</v>
      </c>
      <c r="X11" s="73">
        <v>0.77</v>
      </c>
      <c r="Y11" s="73" t="s">
        <v>1044</v>
      </c>
      <c r="Z11" s="73">
        <f t="shared" si="0"/>
        <v>0.77</v>
      </c>
      <c r="AA11" s="73">
        <v>0.77</v>
      </c>
      <c r="AB11" s="73">
        <f t="shared" si="1"/>
        <v>0.77</v>
      </c>
      <c r="AC11" s="60">
        <v>0.77</v>
      </c>
      <c r="AD11" s="60" t="s">
        <v>147</v>
      </c>
      <c r="AE11" s="60" t="s">
        <v>256</v>
      </c>
      <c r="AF11" s="60" t="s">
        <v>1006</v>
      </c>
      <c r="AG11" s="60"/>
      <c r="AH11" s="73"/>
      <c r="AI11" s="73"/>
      <c r="AN11" s="73"/>
      <c r="AO11" s="73"/>
      <c r="AP11" s="73"/>
    </row>
    <row r="12" spans="1:42" s="61" customFormat="1" ht="114" customHeight="1">
      <c r="A12" s="58" t="s">
        <v>474</v>
      </c>
      <c r="B12" s="61">
        <v>0</v>
      </c>
      <c r="C12" s="61">
        <v>2005</v>
      </c>
      <c r="D12" s="60" t="s">
        <v>342</v>
      </c>
      <c r="E12" s="60" t="s">
        <v>40</v>
      </c>
      <c r="F12" s="60" t="s">
        <v>343</v>
      </c>
      <c r="G12" s="62" t="s">
        <v>344</v>
      </c>
      <c r="H12" s="62" t="s">
        <v>345</v>
      </c>
      <c r="I12" s="60" t="s">
        <v>217</v>
      </c>
      <c r="J12" s="60" t="s">
        <v>346</v>
      </c>
      <c r="K12" s="60" t="s">
        <v>347</v>
      </c>
      <c r="O12" s="61" t="s">
        <v>703</v>
      </c>
      <c r="P12" s="61" t="s">
        <v>267</v>
      </c>
      <c r="Q12" s="64" t="s">
        <v>861</v>
      </c>
      <c r="R12" s="61" t="s">
        <v>217</v>
      </c>
      <c r="S12" s="61">
        <v>2</v>
      </c>
      <c r="T12" s="61" t="s">
        <v>348</v>
      </c>
      <c r="U12" s="53" t="s">
        <v>1072</v>
      </c>
      <c r="V12" s="73">
        <v>0.214</v>
      </c>
      <c r="W12" s="73">
        <f t="shared" si="2"/>
        <v>0.97099999999999997</v>
      </c>
      <c r="X12" s="73">
        <f>0.8+(0.8*V12)</f>
        <v>0.97120000000000006</v>
      </c>
      <c r="Y12" s="73">
        <v>0.375</v>
      </c>
      <c r="Z12" s="73">
        <f t="shared" si="0"/>
        <v>1.1100000000000001</v>
      </c>
      <c r="AA12" s="73">
        <f>0.8+(0.8*Y12)+0.01</f>
        <v>1.1100000000000001</v>
      </c>
      <c r="AB12" s="73">
        <f t="shared" si="1"/>
        <v>1.0405</v>
      </c>
      <c r="AC12" s="60">
        <f>4/5+2/3*0.5 +0.01</f>
        <v>1.1433333333333333</v>
      </c>
      <c r="AD12" s="60" t="s">
        <v>160</v>
      </c>
      <c r="AE12" s="60" t="s">
        <v>161</v>
      </c>
      <c r="AF12" s="60" t="s">
        <v>1048</v>
      </c>
      <c r="AG12" s="60"/>
      <c r="AH12" s="73"/>
      <c r="AI12" s="73"/>
      <c r="AN12" s="73"/>
      <c r="AO12" s="73"/>
      <c r="AP12" s="73"/>
    </row>
    <row r="13" spans="1:42" s="61" customFormat="1" ht="169.05" customHeight="1">
      <c r="A13" s="58" t="s">
        <v>475</v>
      </c>
      <c r="B13" s="61">
        <v>1</v>
      </c>
      <c r="C13" s="61">
        <v>2011</v>
      </c>
      <c r="D13" s="60" t="s">
        <v>352</v>
      </c>
      <c r="E13" s="60" t="s">
        <v>40</v>
      </c>
      <c r="F13" s="60" t="s">
        <v>351</v>
      </c>
      <c r="G13" s="60" t="s">
        <v>71</v>
      </c>
      <c r="H13" s="60" t="s">
        <v>71</v>
      </c>
      <c r="I13" s="60" t="s">
        <v>267</v>
      </c>
      <c r="J13" s="60" t="s">
        <v>849</v>
      </c>
      <c r="K13" s="60"/>
      <c r="L13" s="61" t="s">
        <v>39</v>
      </c>
      <c r="M13" s="61" t="s">
        <v>39</v>
      </c>
      <c r="N13" s="61" t="s">
        <v>353</v>
      </c>
      <c r="O13" s="61">
        <v>99</v>
      </c>
      <c r="P13" s="61" t="s">
        <v>267</v>
      </c>
      <c r="Q13" s="61" t="s">
        <v>354</v>
      </c>
      <c r="R13" s="61" t="s">
        <v>217</v>
      </c>
      <c r="S13" s="61">
        <v>3</v>
      </c>
      <c r="T13" s="61" t="s">
        <v>355</v>
      </c>
      <c r="U13" s="68" t="s">
        <v>991</v>
      </c>
      <c r="V13" s="73">
        <v>0.13500000000000001</v>
      </c>
      <c r="W13" s="73">
        <f t="shared" si="2"/>
        <v>1.167</v>
      </c>
      <c r="X13" s="73">
        <f>0.5+(2/3)</f>
        <v>1.1666666666666665</v>
      </c>
      <c r="Y13" s="73">
        <v>0.40100000000000002</v>
      </c>
      <c r="Z13" s="73">
        <f t="shared" si="0"/>
        <v>1.167</v>
      </c>
      <c r="AA13" s="73">
        <v>1.1666666670000001</v>
      </c>
      <c r="AB13" s="73">
        <f t="shared" si="1"/>
        <v>1.167</v>
      </c>
      <c r="AC13" s="60">
        <f>0.5+2/3</f>
        <v>1.1666666666666665</v>
      </c>
      <c r="AD13" s="60" t="s">
        <v>358</v>
      </c>
      <c r="AE13" s="60" t="s">
        <v>357</v>
      </c>
      <c r="AF13" s="60" t="s">
        <v>1049</v>
      </c>
      <c r="AG13" s="60" t="s">
        <v>1046</v>
      </c>
      <c r="AH13" s="73"/>
      <c r="AI13" s="73"/>
      <c r="AN13" s="73"/>
      <c r="AO13" s="73"/>
      <c r="AP13" s="73"/>
    </row>
    <row r="14" spans="1:42" s="61" customFormat="1" ht="69" customHeight="1">
      <c r="A14" s="58" t="s">
        <v>476</v>
      </c>
      <c r="B14" s="61">
        <v>0</v>
      </c>
      <c r="C14" s="61">
        <v>1992</v>
      </c>
      <c r="D14" s="60" t="s">
        <v>363</v>
      </c>
      <c r="E14" s="60" t="s">
        <v>361</v>
      </c>
      <c r="F14" s="60" t="s">
        <v>362</v>
      </c>
      <c r="G14" s="60" t="s">
        <v>51</v>
      </c>
      <c r="H14" s="60" t="s">
        <v>39</v>
      </c>
      <c r="I14" s="60" t="s">
        <v>217</v>
      </c>
      <c r="J14" s="60" t="s">
        <v>195</v>
      </c>
      <c r="K14" s="60" t="s">
        <v>40</v>
      </c>
      <c r="L14" s="61" t="s">
        <v>39</v>
      </c>
      <c r="M14" s="61" t="s">
        <v>39</v>
      </c>
      <c r="N14" s="61" t="s">
        <v>39</v>
      </c>
      <c r="O14" s="61" t="s">
        <v>138</v>
      </c>
      <c r="P14" s="61" t="s">
        <v>599</v>
      </c>
      <c r="Q14" s="61" t="s">
        <v>51</v>
      </c>
      <c r="R14" s="61" t="s">
        <v>267</v>
      </c>
      <c r="S14" s="61">
        <v>1</v>
      </c>
      <c r="T14" s="61" t="s">
        <v>341</v>
      </c>
      <c r="U14" s="68" t="s">
        <v>864</v>
      </c>
      <c r="V14" s="73"/>
      <c r="W14" s="73">
        <f t="shared" si="2"/>
        <v>0.66700000000000004</v>
      </c>
      <c r="X14" s="73">
        <v>0.66669999999999996</v>
      </c>
      <c r="Y14" s="73" t="s">
        <v>1044</v>
      </c>
      <c r="Z14" s="73">
        <f t="shared" si="0"/>
        <v>0.66700000000000004</v>
      </c>
      <c r="AA14" s="73">
        <v>0.66669999999999996</v>
      </c>
      <c r="AB14" s="73">
        <f t="shared" si="1"/>
        <v>0.66700000000000004</v>
      </c>
      <c r="AC14" s="60">
        <f>2/3</f>
        <v>0.66666666666666663</v>
      </c>
      <c r="AD14" s="60" t="s">
        <v>360</v>
      </c>
      <c r="AE14" s="60" t="s">
        <v>359</v>
      </c>
      <c r="AF14" s="60"/>
      <c r="AG14" s="60"/>
      <c r="AH14" s="73"/>
      <c r="AI14" s="73"/>
      <c r="AN14" s="73"/>
      <c r="AO14" s="73"/>
      <c r="AP14" s="73"/>
    </row>
    <row r="15" spans="1:42" s="61" customFormat="1" ht="190.05" customHeight="1">
      <c r="A15" s="58" t="s">
        <v>477</v>
      </c>
      <c r="B15" s="61">
        <v>1</v>
      </c>
      <c r="C15" s="61">
        <v>2014</v>
      </c>
      <c r="D15" s="60" t="s">
        <v>370</v>
      </c>
      <c r="E15" s="60" t="s">
        <v>40</v>
      </c>
      <c r="F15" s="60" t="s">
        <v>365</v>
      </c>
      <c r="G15" s="60" t="s">
        <v>364</v>
      </c>
      <c r="H15" s="60" t="s">
        <v>364</v>
      </c>
      <c r="I15" s="60" t="s">
        <v>217</v>
      </c>
      <c r="J15" s="60" t="s">
        <v>366</v>
      </c>
      <c r="K15" s="60" t="s">
        <v>367</v>
      </c>
      <c r="L15" s="61" t="s">
        <v>39</v>
      </c>
      <c r="M15" s="61" t="s">
        <v>39</v>
      </c>
      <c r="N15" s="61" t="s">
        <v>39</v>
      </c>
      <c r="O15" s="61" t="s">
        <v>703</v>
      </c>
      <c r="P15" s="61" t="s">
        <v>267</v>
      </c>
      <c r="Q15" s="61" t="s">
        <v>368</v>
      </c>
      <c r="R15" s="66" t="s">
        <v>217</v>
      </c>
      <c r="S15" s="66">
        <v>3</v>
      </c>
      <c r="T15" s="61" t="s">
        <v>369</v>
      </c>
      <c r="U15" s="68" t="s">
        <v>1073</v>
      </c>
      <c r="V15" s="73">
        <v>6.9000000000000006E-2</v>
      </c>
      <c r="W15" s="73">
        <f t="shared" si="2"/>
        <v>1.141</v>
      </c>
      <c r="X15" s="73">
        <f>0.6+(0.6*V15)+0.5</f>
        <v>1.1414</v>
      </c>
      <c r="Y15" s="73">
        <v>0.182</v>
      </c>
      <c r="Z15" s="73">
        <f t="shared" si="0"/>
        <v>1.2090000000000001</v>
      </c>
      <c r="AA15" s="73">
        <f>0.6+(0.6*Y15)+0.5</f>
        <v>1.2092000000000001</v>
      </c>
      <c r="AB15" s="73">
        <f t="shared" si="1"/>
        <v>1.175</v>
      </c>
      <c r="AC15" s="60">
        <f>3/5*1.5+0.5</f>
        <v>1.4</v>
      </c>
      <c r="AD15" s="60" t="s">
        <v>56</v>
      </c>
      <c r="AE15" s="60" t="s">
        <v>57</v>
      </c>
      <c r="AF15" s="60" t="s">
        <v>1007</v>
      </c>
      <c r="AG15" s="60"/>
      <c r="AH15" s="73"/>
      <c r="AI15" s="73"/>
      <c r="AN15" s="73"/>
      <c r="AO15" s="73"/>
      <c r="AP15" s="73"/>
    </row>
    <row r="16" spans="1:42" s="61" customFormat="1" ht="202.05" customHeight="1">
      <c r="A16" s="58" t="s">
        <v>478</v>
      </c>
      <c r="B16" s="61">
        <v>0</v>
      </c>
      <c r="C16" s="61">
        <v>2013</v>
      </c>
      <c r="D16" s="60" t="s">
        <v>383</v>
      </c>
      <c r="E16" s="60" t="s">
        <v>40</v>
      </c>
      <c r="F16" s="60" t="s">
        <v>372</v>
      </c>
      <c r="G16" s="60" t="s">
        <v>373</v>
      </c>
      <c r="H16" s="60" t="s">
        <v>373</v>
      </c>
      <c r="I16" s="60" t="s">
        <v>217</v>
      </c>
      <c r="J16" s="60" t="s">
        <v>40</v>
      </c>
      <c r="K16" s="60" t="s">
        <v>374</v>
      </c>
      <c r="L16" s="61" t="s">
        <v>39</v>
      </c>
      <c r="M16" s="61" t="s">
        <v>39</v>
      </c>
      <c r="N16" s="61" t="s">
        <v>39</v>
      </c>
      <c r="O16" s="61" t="s">
        <v>138</v>
      </c>
      <c r="P16" s="61" t="s">
        <v>267</v>
      </c>
      <c r="Q16" s="61" t="s">
        <v>378</v>
      </c>
      <c r="R16" s="81" t="s">
        <v>217</v>
      </c>
      <c r="S16" s="81">
        <v>2</v>
      </c>
      <c r="T16" s="61" t="s">
        <v>348</v>
      </c>
      <c r="U16" s="68" t="s">
        <v>1074</v>
      </c>
      <c r="V16" s="73">
        <v>3.3000000000000002E-2</v>
      </c>
      <c r="W16" s="73">
        <f t="shared" si="2"/>
        <v>0.50700000000000001</v>
      </c>
      <c r="X16" s="73">
        <f>0.5+(0.5*V16)-0.01</f>
        <v>0.50649999999999995</v>
      </c>
      <c r="Y16" s="73">
        <v>9.1999999999999998E-2</v>
      </c>
      <c r="Z16" s="73">
        <f t="shared" si="0"/>
        <v>0.53600000000000003</v>
      </c>
      <c r="AA16" s="73">
        <f>0.5+(0.5*Y16)-0.01</f>
        <v>0.53600000000000003</v>
      </c>
      <c r="AB16" s="73">
        <f t="shared" si="1"/>
        <v>0.52150000000000007</v>
      </c>
      <c r="AC16" s="60">
        <f>1.5*0.5-0.01</f>
        <v>0.74</v>
      </c>
      <c r="AD16" s="60" t="s">
        <v>371</v>
      </c>
      <c r="AE16" s="60" t="s">
        <v>211</v>
      </c>
      <c r="AF16" s="60" t="s">
        <v>1008</v>
      </c>
      <c r="AG16" s="60"/>
      <c r="AH16" s="73"/>
      <c r="AI16" s="73"/>
      <c r="AN16" s="73"/>
      <c r="AO16" s="73"/>
      <c r="AP16" s="73"/>
    </row>
    <row r="17" spans="1:42" s="61" customFormat="1" ht="109.95" customHeight="1">
      <c r="A17" s="58" t="s">
        <v>479</v>
      </c>
      <c r="B17" s="61">
        <v>0</v>
      </c>
      <c r="C17" s="61">
        <v>2009</v>
      </c>
      <c r="D17" s="60" t="s">
        <v>1009</v>
      </c>
      <c r="E17" s="60" t="s">
        <v>40</v>
      </c>
      <c r="F17" s="60" t="s">
        <v>691</v>
      </c>
      <c r="G17" s="60" t="s">
        <v>51</v>
      </c>
      <c r="H17" s="60" t="s">
        <v>39</v>
      </c>
      <c r="I17" s="60"/>
      <c r="J17" s="60" t="s">
        <v>40</v>
      </c>
      <c r="K17" s="60" t="s">
        <v>692</v>
      </c>
      <c r="L17" s="61" t="s">
        <v>39</v>
      </c>
      <c r="M17" s="61" t="s">
        <v>39</v>
      </c>
      <c r="N17" s="61" t="s">
        <v>694</v>
      </c>
      <c r="O17" s="64" t="s">
        <v>345</v>
      </c>
      <c r="P17" s="61" t="s">
        <v>217</v>
      </c>
      <c r="Q17" s="61" t="s">
        <v>51</v>
      </c>
      <c r="R17" s="61" t="s">
        <v>267</v>
      </c>
      <c r="S17" s="61">
        <v>2</v>
      </c>
      <c r="T17" s="61" t="s">
        <v>695</v>
      </c>
      <c r="U17" s="68" t="s">
        <v>866</v>
      </c>
      <c r="V17" s="73"/>
      <c r="W17" s="73">
        <f t="shared" si="2"/>
        <v>1.333</v>
      </c>
      <c r="X17" s="73">
        <v>1.333</v>
      </c>
      <c r="Y17" s="73" t="s">
        <v>1044</v>
      </c>
      <c r="Z17" s="73">
        <f t="shared" si="0"/>
        <v>1.333</v>
      </c>
      <c r="AA17" s="73">
        <v>1.333</v>
      </c>
      <c r="AB17" s="73">
        <f t="shared" si="1"/>
        <v>1.333</v>
      </c>
      <c r="AC17" s="60">
        <f>2/3+2/3</f>
        <v>1.3333333333333333</v>
      </c>
      <c r="AD17" s="60">
        <v>42</v>
      </c>
      <c r="AE17" s="60" t="s">
        <v>690</v>
      </c>
      <c r="AF17" s="60" t="s">
        <v>1050</v>
      </c>
      <c r="AG17" s="60"/>
      <c r="AH17" s="73"/>
      <c r="AI17" s="73"/>
      <c r="AN17" s="73"/>
      <c r="AO17" s="73"/>
      <c r="AP17" s="73"/>
    </row>
    <row r="18" spans="1:42" s="61" customFormat="1" ht="253.95" customHeight="1">
      <c r="A18" s="58" t="s">
        <v>480</v>
      </c>
      <c r="B18" s="61">
        <v>0</v>
      </c>
      <c r="C18" s="61">
        <v>2011</v>
      </c>
      <c r="D18" s="60" t="s">
        <v>1010</v>
      </c>
      <c r="E18" s="60"/>
      <c r="F18" s="60" t="s">
        <v>384</v>
      </c>
      <c r="G18" s="60" t="s">
        <v>385</v>
      </c>
      <c r="H18" s="60" t="s">
        <v>39</v>
      </c>
      <c r="I18" s="60" t="s">
        <v>217</v>
      </c>
      <c r="J18" s="60" t="s">
        <v>387</v>
      </c>
      <c r="K18" s="60" t="s">
        <v>388</v>
      </c>
      <c r="L18" s="61" t="s">
        <v>39</v>
      </c>
      <c r="M18" s="61" t="s">
        <v>39</v>
      </c>
      <c r="N18" s="61" t="s">
        <v>39</v>
      </c>
      <c r="O18" s="64" t="s">
        <v>345</v>
      </c>
      <c r="P18" s="61" t="s">
        <v>217</v>
      </c>
      <c r="Q18" s="61" t="s">
        <v>389</v>
      </c>
      <c r="R18" s="61" t="s">
        <v>267</v>
      </c>
      <c r="S18" s="61">
        <v>2</v>
      </c>
      <c r="T18" s="61" t="s">
        <v>975</v>
      </c>
      <c r="U18" s="67" t="s">
        <v>993</v>
      </c>
      <c r="V18" s="73"/>
      <c r="W18" s="73">
        <f t="shared" si="2"/>
        <v>1.1870000000000001</v>
      </c>
      <c r="X18" s="73">
        <v>1.1867000000000001</v>
      </c>
      <c r="Y18" s="73" t="s">
        <v>1044</v>
      </c>
      <c r="Z18" s="73">
        <f t="shared" si="0"/>
        <v>1.1870000000000001</v>
      </c>
      <c r="AA18" s="73">
        <v>1.1867000000000001</v>
      </c>
      <c r="AB18" s="73">
        <f t="shared" si="1"/>
        <v>1.1870000000000001</v>
      </c>
      <c r="AC18" s="60">
        <f>2/3+0.5+0.02</f>
        <v>1.1866666666666665</v>
      </c>
      <c r="AD18" s="60" t="s">
        <v>143</v>
      </c>
      <c r="AE18" s="60" t="s">
        <v>144</v>
      </c>
      <c r="AF18" s="60" t="s">
        <v>1011</v>
      </c>
      <c r="AG18" s="60" t="s">
        <v>1025</v>
      </c>
      <c r="AH18" s="73"/>
      <c r="AI18" s="73"/>
      <c r="AN18" s="73"/>
      <c r="AO18" s="73"/>
      <c r="AP18" s="73"/>
    </row>
    <row r="19" spans="1:42" s="61" customFormat="1" ht="133.94999999999999" customHeight="1">
      <c r="A19" s="58" t="s">
        <v>481</v>
      </c>
      <c r="B19" s="61">
        <v>0</v>
      </c>
      <c r="C19" s="61">
        <v>2010</v>
      </c>
      <c r="D19" s="60" t="s">
        <v>847</v>
      </c>
      <c r="E19" s="60" t="s">
        <v>40</v>
      </c>
      <c r="F19" s="60" t="s">
        <v>845</v>
      </c>
      <c r="G19" s="60" t="s">
        <v>51</v>
      </c>
      <c r="H19" s="60" t="s">
        <v>39</v>
      </c>
      <c r="I19" s="60" t="s">
        <v>217</v>
      </c>
      <c r="J19" s="60" t="s">
        <v>40</v>
      </c>
      <c r="K19" s="60" t="s">
        <v>846</v>
      </c>
      <c r="L19" s="61" t="s">
        <v>39</v>
      </c>
      <c r="M19" s="61" t="s">
        <v>39</v>
      </c>
      <c r="N19" s="61" t="s">
        <v>39</v>
      </c>
      <c r="O19" s="61" t="s">
        <v>138</v>
      </c>
      <c r="P19" s="61" t="s">
        <v>267</v>
      </c>
      <c r="Q19" s="61" t="s">
        <v>51</v>
      </c>
      <c r="R19" s="61" t="s">
        <v>269</v>
      </c>
      <c r="S19" s="61">
        <v>1</v>
      </c>
      <c r="T19" s="61" t="s">
        <v>341</v>
      </c>
      <c r="U19" s="68" t="s">
        <v>868</v>
      </c>
      <c r="V19" s="73"/>
      <c r="W19" s="73">
        <f t="shared" si="2"/>
        <v>0.69699999999999995</v>
      </c>
      <c r="X19" s="73">
        <v>0.69669999999999999</v>
      </c>
      <c r="Y19" s="73" t="s">
        <v>1044</v>
      </c>
      <c r="Z19" s="73">
        <f t="shared" si="0"/>
        <v>0.69699999999999995</v>
      </c>
      <c r="AA19" s="73">
        <v>0.69669999999999999</v>
      </c>
      <c r="AB19" s="73">
        <f t="shared" si="1"/>
        <v>0.69699999999999995</v>
      </c>
      <c r="AC19" s="70">
        <f>2/3+0.03</f>
        <v>0.69666666666666666</v>
      </c>
      <c r="AD19" s="60" t="s">
        <v>844</v>
      </c>
      <c r="AE19" s="60" t="s">
        <v>843</v>
      </c>
      <c r="AF19" s="60"/>
      <c r="AG19" s="60"/>
      <c r="AH19" s="73"/>
      <c r="AI19" s="73"/>
      <c r="AN19" s="73"/>
      <c r="AO19" s="73"/>
      <c r="AP19" s="73"/>
    </row>
    <row r="20" spans="1:42" s="61" customFormat="1" ht="79.95" customHeight="1">
      <c r="A20" s="58" t="s">
        <v>482</v>
      </c>
      <c r="B20" s="61">
        <v>0</v>
      </c>
      <c r="C20" s="61">
        <v>2013</v>
      </c>
      <c r="D20" s="60" t="s">
        <v>390</v>
      </c>
      <c r="E20" s="60" t="s">
        <v>40</v>
      </c>
      <c r="F20" s="60" t="s">
        <v>391</v>
      </c>
      <c r="G20" s="60" t="s">
        <v>392</v>
      </c>
      <c r="H20" s="60" t="s">
        <v>39</v>
      </c>
      <c r="I20" s="60" t="s">
        <v>217</v>
      </c>
      <c r="J20" s="60" t="s">
        <v>40</v>
      </c>
      <c r="K20" s="60" t="s">
        <v>40</v>
      </c>
      <c r="L20" s="61" t="s">
        <v>39</v>
      </c>
      <c r="M20" s="61" t="s">
        <v>39</v>
      </c>
      <c r="N20" s="61" t="s">
        <v>39</v>
      </c>
      <c r="O20" s="64" t="s">
        <v>345</v>
      </c>
      <c r="P20" s="61" t="s">
        <v>217</v>
      </c>
      <c r="Q20" s="61" t="s">
        <v>393</v>
      </c>
      <c r="R20" s="61" t="s">
        <v>267</v>
      </c>
      <c r="S20" s="61">
        <v>1</v>
      </c>
      <c r="T20" s="61" t="s">
        <v>394</v>
      </c>
      <c r="U20" s="79" t="s">
        <v>904</v>
      </c>
      <c r="V20" s="73"/>
      <c r="W20" s="73">
        <f t="shared" si="2"/>
        <v>1.343</v>
      </c>
      <c r="X20" s="73">
        <v>1.3432999999999999</v>
      </c>
      <c r="Y20" s="73" t="s">
        <v>1044</v>
      </c>
      <c r="Z20" s="73">
        <f t="shared" si="0"/>
        <v>1.343</v>
      </c>
      <c r="AA20" s="73">
        <v>1.3432999999999999</v>
      </c>
      <c r="AB20" s="73">
        <f t="shared" si="1"/>
        <v>1.343</v>
      </c>
      <c r="AC20" s="60">
        <f>2/3*2+0.01</f>
        <v>1.3433333333333333</v>
      </c>
      <c r="AD20" s="60">
        <v>182</v>
      </c>
      <c r="AE20" s="60" t="s">
        <v>200</v>
      </c>
      <c r="AF20" s="60" t="s">
        <v>1051</v>
      </c>
      <c r="AG20" s="60" t="s">
        <v>246</v>
      </c>
      <c r="AH20" s="73"/>
      <c r="AI20" s="73"/>
      <c r="AN20" s="73"/>
      <c r="AO20" s="73"/>
      <c r="AP20" s="73"/>
    </row>
    <row r="21" spans="1:42" s="61" customFormat="1" ht="78" customHeight="1">
      <c r="A21" s="58" t="s">
        <v>483</v>
      </c>
      <c r="B21" s="61">
        <v>1</v>
      </c>
      <c r="C21" s="61">
        <v>2013</v>
      </c>
      <c r="D21" s="60" t="s">
        <v>395</v>
      </c>
      <c r="E21" s="60" t="s">
        <v>40</v>
      </c>
      <c r="F21" s="60" t="s">
        <v>396</v>
      </c>
      <c r="G21" s="78" t="s">
        <v>364</v>
      </c>
      <c r="H21" s="60" t="s">
        <v>364</v>
      </c>
      <c r="I21" s="60" t="s">
        <v>267</v>
      </c>
      <c r="J21" s="60" t="s">
        <v>849</v>
      </c>
      <c r="K21" s="60" t="s">
        <v>40</v>
      </c>
      <c r="L21" s="61" t="s">
        <v>39</v>
      </c>
      <c r="M21" s="61" t="s">
        <v>39</v>
      </c>
      <c r="N21" s="61" t="s">
        <v>39</v>
      </c>
      <c r="O21" s="61" t="s">
        <v>138</v>
      </c>
      <c r="P21" s="61" t="s">
        <v>267</v>
      </c>
      <c r="Q21" s="61" t="s">
        <v>364</v>
      </c>
      <c r="R21" s="61" t="s">
        <v>217</v>
      </c>
      <c r="S21" s="61">
        <v>2</v>
      </c>
      <c r="T21" s="61" t="s">
        <v>348</v>
      </c>
      <c r="U21" s="68" t="s">
        <v>1075</v>
      </c>
      <c r="V21" s="73">
        <v>0.26</v>
      </c>
      <c r="W21" s="73">
        <f t="shared" si="2"/>
        <v>0.76600000000000001</v>
      </c>
      <c r="X21" s="73">
        <f>0.6+(0.6*V21)+0.01</f>
        <v>0.76600000000000001</v>
      </c>
      <c r="Y21" s="73">
        <v>0.46100000000000002</v>
      </c>
      <c r="Z21" s="73">
        <f t="shared" si="0"/>
        <v>0.88700000000000001</v>
      </c>
      <c r="AA21" s="73">
        <f>0.6+(0.6*Y21)+0.01</f>
        <v>0.88660000000000005</v>
      </c>
      <c r="AB21" s="73">
        <f t="shared" si="1"/>
        <v>0.82650000000000001</v>
      </c>
      <c r="AC21" s="60">
        <f>1.5*3/5+0.01</f>
        <v>0.91</v>
      </c>
      <c r="AD21" s="60" t="s">
        <v>58</v>
      </c>
      <c r="AE21" s="60" t="s">
        <v>257</v>
      </c>
      <c r="AF21" s="60"/>
      <c r="AG21" s="60"/>
      <c r="AH21" s="73"/>
      <c r="AI21" s="73"/>
      <c r="AN21" s="73"/>
      <c r="AO21" s="73"/>
      <c r="AP21" s="73"/>
    </row>
    <row r="22" spans="1:42" s="61" customFormat="1" ht="130.05000000000001" customHeight="1">
      <c r="A22" s="58" t="s">
        <v>484</v>
      </c>
      <c r="B22" s="61">
        <v>1</v>
      </c>
      <c r="C22" s="61">
        <v>1953</v>
      </c>
      <c r="D22" s="60" t="s">
        <v>401</v>
      </c>
      <c r="E22" s="60" t="s">
        <v>40</v>
      </c>
      <c r="F22" s="70" t="s">
        <v>666</v>
      </c>
      <c r="G22" s="60" t="s">
        <v>71</v>
      </c>
      <c r="H22" s="60" t="s">
        <v>39</v>
      </c>
      <c r="I22" s="60" t="s">
        <v>267</v>
      </c>
      <c r="J22" s="60" t="s">
        <v>299</v>
      </c>
      <c r="K22" s="60" t="s">
        <v>397</v>
      </c>
      <c r="L22" s="61" t="s">
        <v>71</v>
      </c>
      <c r="M22" s="61" t="s">
        <v>39</v>
      </c>
      <c r="N22" s="61" t="s">
        <v>39</v>
      </c>
      <c r="O22" s="61">
        <v>99</v>
      </c>
      <c r="P22" s="61" t="s">
        <v>138</v>
      </c>
      <c r="Q22" s="61" t="s">
        <v>71</v>
      </c>
      <c r="R22" s="61" t="s">
        <v>267</v>
      </c>
      <c r="S22" s="61">
        <v>3</v>
      </c>
      <c r="T22" s="61" t="s">
        <v>400</v>
      </c>
      <c r="U22" s="68" t="s">
        <v>964</v>
      </c>
      <c r="V22" s="73"/>
      <c r="W22" s="73">
        <f t="shared" si="2"/>
        <v>1.51</v>
      </c>
      <c r="X22" s="73">
        <v>1.51</v>
      </c>
      <c r="Y22" s="73" t="s">
        <v>1044</v>
      </c>
      <c r="Z22" s="73">
        <f t="shared" si="0"/>
        <v>1.51</v>
      </c>
      <c r="AA22" s="73">
        <v>1.51</v>
      </c>
      <c r="AB22" s="73">
        <f t="shared" si="1"/>
        <v>1.51</v>
      </c>
      <c r="AC22" s="60">
        <v>1.51</v>
      </c>
      <c r="AD22" s="60">
        <v>88</v>
      </c>
      <c r="AE22" s="60" t="s">
        <v>47</v>
      </c>
      <c r="AF22" s="60" t="s">
        <v>1052</v>
      </c>
      <c r="AG22" s="60" t="s">
        <v>247</v>
      </c>
    </row>
    <row r="23" spans="1:42" s="61" customFormat="1" ht="100.05" customHeight="1">
      <c r="A23" s="58" t="s">
        <v>485</v>
      </c>
      <c r="B23" s="61">
        <v>0</v>
      </c>
      <c r="C23" s="61" t="s">
        <v>234</v>
      </c>
      <c r="D23" s="60" t="s">
        <v>412</v>
      </c>
      <c r="E23" s="60" t="s">
        <v>40</v>
      </c>
      <c r="F23" s="60" t="s">
        <v>403</v>
      </c>
      <c r="G23" s="60">
        <v>0.5</v>
      </c>
      <c r="H23" s="60">
        <v>0.5</v>
      </c>
      <c r="I23" s="60" t="s">
        <v>138</v>
      </c>
      <c r="J23" s="60" t="s">
        <v>406</v>
      </c>
      <c r="K23" s="60" t="s">
        <v>408</v>
      </c>
      <c r="L23" s="61" t="s">
        <v>409</v>
      </c>
      <c r="M23" s="61" t="s">
        <v>39</v>
      </c>
      <c r="N23" s="61" t="s">
        <v>39</v>
      </c>
      <c r="O23" s="61" t="s">
        <v>138</v>
      </c>
      <c r="P23" s="61" t="s">
        <v>267</v>
      </c>
      <c r="Q23" s="61" t="s">
        <v>410</v>
      </c>
      <c r="R23" s="61" t="s">
        <v>217</v>
      </c>
      <c r="S23" s="61">
        <v>3</v>
      </c>
      <c r="T23" s="61" t="s">
        <v>407</v>
      </c>
      <c r="U23" s="68" t="s">
        <v>411</v>
      </c>
      <c r="V23" s="73">
        <v>0.34399999999999997</v>
      </c>
      <c r="W23" s="73">
        <f t="shared" si="2"/>
        <v>0.69699999999999995</v>
      </c>
      <c r="X23" s="73">
        <v>0.69666666700000002</v>
      </c>
      <c r="Y23" s="73">
        <v>0.55100000000000005</v>
      </c>
      <c r="Z23" s="73">
        <f t="shared" si="0"/>
        <v>0.69699999999999995</v>
      </c>
      <c r="AA23" s="73">
        <v>0.69666666700000002</v>
      </c>
      <c r="AB23" s="73">
        <f t="shared" si="1"/>
        <v>0.69699999999999995</v>
      </c>
      <c r="AC23" s="60">
        <f>2/3 + 0.03</f>
        <v>0.69666666666666666</v>
      </c>
      <c r="AD23" s="60" t="s">
        <v>404</v>
      </c>
      <c r="AE23" s="60" t="s">
        <v>405</v>
      </c>
      <c r="AF23" s="60" t="s">
        <v>1053</v>
      </c>
      <c r="AG23" s="60" t="s">
        <v>264</v>
      </c>
      <c r="AH23" s="73"/>
      <c r="AI23" s="73"/>
      <c r="AN23" s="73"/>
      <c r="AO23" s="73"/>
      <c r="AP23" s="73"/>
    </row>
    <row r="24" spans="1:42" s="61" customFormat="1" ht="109.95" customHeight="1">
      <c r="A24" s="58" t="s">
        <v>486</v>
      </c>
      <c r="B24" s="61">
        <v>0</v>
      </c>
      <c r="C24" s="61">
        <v>2002</v>
      </c>
      <c r="D24" s="60" t="s">
        <v>418</v>
      </c>
      <c r="E24" s="60" t="s">
        <v>414</v>
      </c>
      <c r="F24" s="60" t="s">
        <v>413</v>
      </c>
      <c r="G24" s="60" t="s">
        <v>51</v>
      </c>
      <c r="H24" s="60" t="s">
        <v>39</v>
      </c>
      <c r="I24" s="70" t="s">
        <v>217</v>
      </c>
      <c r="J24" s="60" t="s">
        <v>415</v>
      </c>
      <c r="K24" s="60" t="s">
        <v>416</v>
      </c>
      <c r="L24" s="61" t="s">
        <v>39</v>
      </c>
      <c r="M24" s="61" t="s">
        <v>39</v>
      </c>
      <c r="N24" s="61" t="s">
        <v>39</v>
      </c>
      <c r="O24" s="64" t="s">
        <v>345</v>
      </c>
      <c r="P24" s="61" t="s">
        <v>217</v>
      </c>
      <c r="Q24" s="61" t="s">
        <v>870</v>
      </c>
      <c r="R24" s="61" t="s">
        <v>267</v>
      </c>
      <c r="S24" s="61">
        <v>1</v>
      </c>
      <c r="T24" s="61" t="s">
        <v>417</v>
      </c>
      <c r="U24" s="68" t="s">
        <v>997</v>
      </c>
      <c r="V24" s="73"/>
      <c r="W24" s="73">
        <f t="shared" si="2"/>
        <v>0.67700000000000005</v>
      </c>
      <c r="X24" s="73">
        <v>0.67669999999999997</v>
      </c>
      <c r="Y24" s="73" t="s">
        <v>1044</v>
      </c>
      <c r="Z24" s="73">
        <f t="shared" si="0"/>
        <v>0.67700000000000005</v>
      </c>
      <c r="AA24" s="73">
        <v>0.67669999999999997</v>
      </c>
      <c r="AB24" s="73">
        <f t="shared" si="1"/>
        <v>0.67700000000000005</v>
      </c>
      <c r="AC24" s="60">
        <f>2/3+ 0.01</f>
        <v>0.67666666666666664</v>
      </c>
      <c r="AD24" s="60" t="s">
        <v>221</v>
      </c>
      <c r="AE24" s="60" t="s">
        <v>222</v>
      </c>
      <c r="AF24" s="60"/>
      <c r="AG24" s="60"/>
    </row>
    <row r="25" spans="1:42" s="61" customFormat="1" ht="82.95" customHeight="1">
      <c r="A25" s="58" t="s">
        <v>487</v>
      </c>
      <c r="B25" s="61">
        <v>0</v>
      </c>
      <c r="C25" s="61">
        <v>2003</v>
      </c>
      <c r="D25" s="60" t="s">
        <v>431</v>
      </c>
      <c r="E25" s="60" t="s">
        <v>40</v>
      </c>
      <c r="F25" s="60" t="s">
        <v>429</v>
      </c>
      <c r="G25" s="82" t="s">
        <v>430</v>
      </c>
      <c r="H25" s="60" t="s">
        <v>39</v>
      </c>
      <c r="I25" s="70" t="s">
        <v>217</v>
      </c>
      <c r="J25" s="60" t="s">
        <v>40</v>
      </c>
      <c r="K25" s="60" t="s">
        <v>40</v>
      </c>
      <c r="L25" s="61" t="s">
        <v>39</v>
      </c>
      <c r="M25" s="61" t="s">
        <v>39</v>
      </c>
      <c r="N25" s="61" t="s">
        <v>39</v>
      </c>
      <c r="O25" s="64" t="s">
        <v>345</v>
      </c>
      <c r="P25" s="61" t="s">
        <v>217</v>
      </c>
      <c r="Q25" s="64" t="s">
        <v>51</v>
      </c>
      <c r="R25" s="61" t="s">
        <v>267</v>
      </c>
      <c r="S25" s="61">
        <v>1</v>
      </c>
      <c r="T25" s="61" t="s">
        <v>417</v>
      </c>
      <c r="U25" s="68" t="s">
        <v>905</v>
      </c>
      <c r="V25" s="73"/>
      <c r="W25" s="73">
        <f t="shared" si="2"/>
        <v>0.67700000000000005</v>
      </c>
      <c r="X25" s="73">
        <v>0.67669999999999997</v>
      </c>
      <c r="Y25" s="73" t="s">
        <v>1044</v>
      </c>
      <c r="Z25" s="73">
        <f t="shared" si="0"/>
        <v>0.67700000000000005</v>
      </c>
      <c r="AA25" s="73">
        <v>0.67669999999999997</v>
      </c>
      <c r="AB25" s="73">
        <f t="shared" si="1"/>
        <v>0.67700000000000005</v>
      </c>
      <c r="AC25" s="60">
        <f>2/3+0.01</f>
        <v>0.67666666666666664</v>
      </c>
      <c r="AD25" s="60" t="s">
        <v>212</v>
      </c>
      <c r="AE25" s="60" t="s">
        <v>213</v>
      </c>
      <c r="AF25" s="60"/>
      <c r="AG25" s="60"/>
      <c r="AH25" s="73"/>
      <c r="AI25" s="73"/>
      <c r="AN25" s="73"/>
      <c r="AO25" s="73"/>
      <c r="AP25" s="73"/>
    </row>
    <row r="26" spans="1:42" s="61" customFormat="1" ht="115.95" customHeight="1">
      <c r="A26" s="58" t="s">
        <v>488</v>
      </c>
      <c r="B26" s="61">
        <v>1</v>
      </c>
      <c r="C26" s="61">
        <v>2003</v>
      </c>
      <c r="D26" s="60" t="s">
        <v>433</v>
      </c>
      <c r="E26" s="60" t="s">
        <v>434</v>
      </c>
      <c r="F26" s="60" t="s">
        <v>432</v>
      </c>
      <c r="G26" s="60"/>
      <c r="H26" s="60" t="s">
        <v>39</v>
      </c>
      <c r="I26" s="70" t="s">
        <v>267</v>
      </c>
      <c r="J26" s="60" t="s">
        <v>849</v>
      </c>
      <c r="K26" s="60" t="s">
        <v>437</v>
      </c>
      <c r="L26" s="61" t="s">
        <v>438</v>
      </c>
      <c r="M26" s="61" t="s">
        <v>39</v>
      </c>
      <c r="N26" s="61" t="s">
        <v>39</v>
      </c>
      <c r="O26" s="64" t="s">
        <v>436</v>
      </c>
      <c r="P26" s="61" t="s">
        <v>217</v>
      </c>
      <c r="Q26" s="83" t="s">
        <v>364</v>
      </c>
      <c r="R26" s="61" t="s">
        <v>267</v>
      </c>
      <c r="S26" s="61">
        <v>2</v>
      </c>
      <c r="T26" s="61" t="s">
        <v>435</v>
      </c>
      <c r="U26" s="68" t="s">
        <v>934</v>
      </c>
      <c r="V26" s="73"/>
      <c r="W26" s="73">
        <f t="shared" si="2"/>
        <v>1.1100000000000001</v>
      </c>
      <c r="X26" s="73">
        <v>1.1100000000000001</v>
      </c>
      <c r="Y26" s="73" t="s">
        <v>1044</v>
      </c>
      <c r="Z26" s="73">
        <f t="shared" si="0"/>
        <v>1.1100000000000001</v>
      </c>
      <c r="AA26" s="73">
        <v>1.1100000000000001</v>
      </c>
      <c r="AB26" s="73">
        <f t="shared" si="1"/>
        <v>1.1100000000000001</v>
      </c>
      <c r="AC26" s="60">
        <f>3/5+0.5+0.01</f>
        <v>1.1100000000000001</v>
      </c>
      <c r="AD26" s="60" t="s">
        <v>59</v>
      </c>
      <c r="AE26" s="60" t="s">
        <v>60</v>
      </c>
      <c r="AF26" s="60"/>
      <c r="AG26" s="60"/>
      <c r="AH26" s="73"/>
      <c r="AI26" s="73"/>
      <c r="AN26" s="73"/>
      <c r="AO26" s="73"/>
      <c r="AP26" s="73"/>
    </row>
    <row r="27" spans="1:42" s="61" customFormat="1" ht="76.95" customHeight="1">
      <c r="A27" s="58" t="s">
        <v>489</v>
      </c>
      <c r="B27" s="61">
        <v>1</v>
      </c>
      <c r="C27" s="61">
        <v>2011</v>
      </c>
      <c r="D27" s="60" t="s">
        <v>440</v>
      </c>
      <c r="E27" s="60" t="s">
        <v>40</v>
      </c>
      <c r="F27" s="60" t="s">
        <v>40</v>
      </c>
      <c r="G27" s="60" t="s">
        <v>71</v>
      </c>
      <c r="H27" s="60" t="s">
        <v>39</v>
      </c>
      <c r="I27" s="70" t="s">
        <v>217</v>
      </c>
      <c r="J27" s="60" t="s">
        <v>40</v>
      </c>
      <c r="K27" s="60" t="s">
        <v>40</v>
      </c>
      <c r="L27" s="61" t="s">
        <v>439</v>
      </c>
      <c r="M27" s="61" t="s">
        <v>39</v>
      </c>
      <c r="N27" s="61" t="s">
        <v>39</v>
      </c>
      <c r="O27" s="64" t="s">
        <v>345</v>
      </c>
      <c r="P27" s="61" t="s">
        <v>217</v>
      </c>
      <c r="Q27" s="64" t="s">
        <v>439</v>
      </c>
      <c r="R27" s="61" t="s">
        <v>267</v>
      </c>
      <c r="S27" s="61">
        <v>2</v>
      </c>
      <c r="T27" s="61" t="s">
        <v>443</v>
      </c>
      <c r="U27" s="68" t="s">
        <v>906</v>
      </c>
      <c r="V27" s="73"/>
      <c r="W27" s="73">
        <f t="shared" si="2"/>
        <v>1.157</v>
      </c>
      <c r="X27" s="73">
        <v>1.1567000000000001</v>
      </c>
      <c r="Y27" s="73" t="s">
        <v>1069</v>
      </c>
      <c r="Z27" s="73">
        <f t="shared" si="0"/>
        <v>1.157</v>
      </c>
      <c r="AA27" s="73">
        <v>1.1567000000000001</v>
      </c>
      <c r="AB27" s="73">
        <f t="shared" si="1"/>
        <v>1.157</v>
      </c>
      <c r="AC27" s="60">
        <f>0.5+2/3-0.01</f>
        <v>1.1566666666666665</v>
      </c>
      <c r="AD27" s="60" t="s">
        <v>441</v>
      </c>
      <c r="AE27" s="60" t="s">
        <v>442</v>
      </c>
      <c r="AF27" s="60"/>
      <c r="AG27" s="60"/>
      <c r="AH27" s="73"/>
      <c r="AI27" s="73"/>
      <c r="AN27" s="73"/>
      <c r="AO27" s="73"/>
      <c r="AP27" s="73"/>
    </row>
    <row r="28" spans="1:42" s="61" customFormat="1" ht="139.05000000000001" customHeight="1">
      <c r="A28" s="58" t="s">
        <v>490</v>
      </c>
      <c r="B28" s="61">
        <v>1</v>
      </c>
      <c r="C28" s="61">
        <v>2008</v>
      </c>
      <c r="D28" s="60" t="s">
        <v>445</v>
      </c>
      <c r="E28" s="60" t="s">
        <v>40</v>
      </c>
      <c r="F28" s="60" t="s">
        <v>444</v>
      </c>
      <c r="G28" s="60" t="s">
        <v>71</v>
      </c>
      <c r="H28" s="60" t="s">
        <v>71</v>
      </c>
      <c r="I28" s="70" t="s">
        <v>217</v>
      </c>
      <c r="J28" s="60" t="s">
        <v>446</v>
      </c>
      <c r="K28" s="60" t="s">
        <v>321</v>
      </c>
      <c r="L28" s="61" t="s">
        <v>39</v>
      </c>
      <c r="M28" s="61" t="s">
        <v>39</v>
      </c>
      <c r="N28" s="61" t="s">
        <v>39</v>
      </c>
      <c r="O28" s="61" t="s">
        <v>703</v>
      </c>
      <c r="P28" s="61" t="s">
        <v>267</v>
      </c>
      <c r="Q28" s="64" t="s">
        <v>1012</v>
      </c>
      <c r="R28" s="61" t="s">
        <v>217</v>
      </c>
      <c r="S28" s="61">
        <v>3</v>
      </c>
      <c r="T28" s="61" t="s">
        <v>323</v>
      </c>
      <c r="U28" s="68" t="s">
        <v>1076</v>
      </c>
      <c r="V28" s="73">
        <v>8.8999999999999996E-2</v>
      </c>
      <c r="W28" s="73">
        <f t="shared" si="2"/>
        <v>1.0449999999999999</v>
      </c>
      <c r="X28" s="73">
        <f>0.5+(0.5*V28)+0.5</f>
        <v>1.0445</v>
      </c>
      <c r="Y28" s="73">
        <v>0.17100000000000001</v>
      </c>
      <c r="Z28" s="73">
        <f t="shared" si="0"/>
        <v>1.0860000000000001</v>
      </c>
      <c r="AA28" s="73">
        <f>0.5+(0.5*Y28)+0.5</f>
        <v>1.0855000000000001</v>
      </c>
      <c r="AB28" s="73">
        <f t="shared" si="1"/>
        <v>1.0655000000000001</v>
      </c>
      <c r="AC28" s="60">
        <f>0.5*1.5+0.5</f>
        <v>1.25</v>
      </c>
      <c r="AD28" s="60" t="s">
        <v>449</v>
      </c>
      <c r="AE28" s="60" t="s">
        <v>448</v>
      </c>
      <c r="AF28" s="60"/>
      <c r="AG28" s="60"/>
      <c r="AH28" s="73"/>
      <c r="AI28" s="73"/>
      <c r="AN28" s="73"/>
      <c r="AO28" s="73"/>
      <c r="AP28" s="73"/>
    </row>
    <row r="29" spans="1:42" s="61" customFormat="1" ht="103.95" customHeight="1">
      <c r="A29" s="58" t="s">
        <v>491</v>
      </c>
      <c r="B29" s="61">
        <v>0</v>
      </c>
      <c r="C29" s="61">
        <v>2004</v>
      </c>
      <c r="D29" s="60" t="s">
        <v>453</v>
      </c>
      <c r="E29" s="60" t="s">
        <v>40</v>
      </c>
      <c r="F29" s="60" t="s">
        <v>451</v>
      </c>
      <c r="G29" s="60"/>
      <c r="H29" s="60"/>
      <c r="I29" s="70" t="s">
        <v>217</v>
      </c>
      <c r="J29" s="60" t="s">
        <v>452</v>
      </c>
      <c r="K29" s="60" t="s">
        <v>40</v>
      </c>
      <c r="L29" s="61" t="s">
        <v>39</v>
      </c>
      <c r="M29" s="61" t="s">
        <v>39</v>
      </c>
      <c r="N29" s="61" t="s">
        <v>39</v>
      </c>
      <c r="O29" s="61" t="s">
        <v>138</v>
      </c>
      <c r="P29" s="61" t="s">
        <v>267</v>
      </c>
      <c r="Q29" s="64" t="s">
        <v>51</v>
      </c>
      <c r="R29" s="61" t="s">
        <v>267</v>
      </c>
      <c r="S29" s="61">
        <v>1</v>
      </c>
      <c r="T29" s="61" t="s">
        <v>417</v>
      </c>
      <c r="U29" s="68" t="s">
        <v>985</v>
      </c>
      <c r="V29" s="73"/>
      <c r="W29" s="73">
        <f t="shared" si="2"/>
        <v>0.69699999999999995</v>
      </c>
      <c r="X29" s="73">
        <v>0.69669999999999999</v>
      </c>
      <c r="Y29" s="73" t="s">
        <v>1044</v>
      </c>
      <c r="Z29" s="73">
        <f t="shared" si="0"/>
        <v>0.69699999999999995</v>
      </c>
      <c r="AA29" s="73">
        <v>0.69669999999999999</v>
      </c>
      <c r="AB29" s="73">
        <f t="shared" si="1"/>
        <v>0.69699999999999995</v>
      </c>
      <c r="AC29" s="60">
        <f>2/3+0.03</f>
        <v>0.69666666666666666</v>
      </c>
      <c r="AD29" s="60" t="s">
        <v>194</v>
      </c>
      <c r="AE29" s="60" t="s">
        <v>450</v>
      </c>
      <c r="AF29" s="60" t="s">
        <v>1054</v>
      </c>
      <c r="AG29" s="60"/>
      <c r="AH29" s="73"/>
      <c r="AI29" s="73"/>
      <c r="AN29" s="73"/>
      <c r="AO29" s="73"/>
      <c r="AP29" s="73"/>
    </row>
    <row r="30" spans="1:42" s="61" customFormat="1" ht="120" customHeight="1">
      <c r="A30" s="58" t="s">
        <v>492</v>
      </c>
      <c r="B30" s="61">
        <v>1</v>
      </c>
      <c r="C30" s="61">
        <v>2012</v>
      </c>
      <c r="D30" s="60" t="s">
        <v>462</v>
      </c>
      <c r="E30" s="60" t="s">
        <v>40</v>
      </c>
      <c r="F30" s="60" t="s">
        <v>455</v>
      </c>
      <c r="G30" s="60" t="s">
        <v>51</v>
      </c>
      <c r="H30" s="60" t="s">
        <v>305</v>
      </c>
      <c r="I30" s="70" t="s">
        <v>267</v>
      </c>
      <c r="J30" s="60" t="s">
        <v>849</v>
      </c>
      <c r="K30" s="60" t="s">
        <v>40</v>
      </c>
      <c r="L30" s="61" t="s">
        <v>39</v>
      </c>
      <c r="M30" s="61" t="s">
        <v>39</v>
      </c>
      <c r="N30" s="61" t="s">
        <v>39</v>
      </c>
      <c r="O30" s="63">
        <v>99</v>
      </c>
      <c r="P30" s="61" t="s">
        <v>138</v>
      </c>
      <c r="Q30" s="61" t="s">
        <v>454</v>
      </c>
      <c r="R30" s="61" t="s">
        <v>217</v>
      </c>
      <c r="S30" s="61">
        <v>2</v>
      </c>
      <c r="T30" s="61" t="s">
        <v>348</v>
      </c>
      <c r="U30" s="67" t="s">
        <v>1077</v>
      </c>
      <c r="V30" s="73">
        <v>0.14499999999999999</v>
      </c>
      <c r="W30" s="73">
        <f t="shared" si="2"/>
        <v>0.77300000000000002</v>
      </c>
      <c r="X30" s="73">
        <f>(2/3)+((2/3)*V30)+0.01</f>
        <v>0.77333333333333332</v>
      </c>
      <c r="Y30" s="73">
        <v>0.28100000000000003</v>
      </c>
      <c r="Z30" s="73">
        <f t="shared" si="0"/>
        <v>0.86399999999999999</v>
      </c>
      <c r="AA30" s="73">
        <f>(2/3)+((2/3)*Y30)+0.01</f>
        <v>0.86399999999999999</v>
      </c>
      <c r="AB30" s="73">
        <f t="shared" si="1"/>
        <v>0.81850000000000001</v>
      </c>
      <c r="AC30" s="60">
        <f>2/3*1.5+0.01</f>
        <v>1.01</v>
      </c>
      <c r="AD30" s="60">
        <v>79</v>
      </c>
      <c r="AE30" s="60" t="s">
        <v>41</v>
      </c>
      <c r="AF30" s="60"/>
      <c r="AG30" s="60"/>
      <c r="AH30" s="73"/>
      <c r="AI30" s="73"/>
      <c r="AN30" s="73"/>
      <c r="AO30" s="73"/>
      <c r="AP30" s="73"/>
    </row>
    <row r="31" spans="1:42" s="61" customFormat="1" ht="166.95" customHeight="1">
      <c r="A31" s="58" t="s">
        <v>493</v>
      </c>
      <c r="B31" s="61">
        <v>0</v>
      </c>
      <c r="C31" s="61">
        <v>1996</v>
      </c>
      <c r="D31" s="60" t="s">
        <v>1013</v>
      </c>
      <c r="E31" s="60" t="s">
        <v>40</v>
      </c>
      <c r="F31" s="70" t="s">
        <v>666</v>
      </c>
      <c r="G31" s="60"/>
      <c r="H31" s="60" t="s">
        <v>39</v>
      </c>
      <c r="I31" s="70" t="s">
        <v>217</v>
      </c>
      <c r="J31" s="60" t="s">
        <v>456</v>
      </c>
      <c r="K31" s="60" t="s">
        <v>40</v>
      </c>
      <c r="L31" s="61" t="s">
        <v>39</v>
      </c>
      <c r="M31" s="61" t="s">
        <v>39</v>
      </c>
      <c r="N31" s="61" t="s">
        <v>39</v>
      </c>
      <c r="O31" s="64" t="s">
        <v>345</v>
      </c>
      <c r="P31" s="61" t="s">
        <v>217</v>
      </c>
      <c r="Q31" s="64" t="s">
        <v>51</v>
      </c>
      <c r="R31" s="61" t="s">
        <v>267</v>
      </c>
      <c r="S31" s="61">
        <v>1</v>
      </c>
      <c r="T31" s="61" t="s">
        <v>341</v>
      </c>
      <c r="U31" s="68" t="s">
        <v>986</v>
      </c>
      <c r="V31" s="73"/>
      <c r="W31" s="73">
        <f t="shared" si="2"/>
        <v>0.70699999999999996</v>
      </c>
      <c r="X31" s="73">
        <v>0.70669999999999999</v>
      </c>
      <c r="Y31" s="73" t="s">
        <v>1044</v>
      </c>
      <c r="Z31" s="73">
        <f t="shared" si="0"/>
        <v>0.70699999999999996</v>
      </c>
      <c r="AA31" s="73">
        <v>0.70669999999999999</v>
      </c>
      <c r="AB31" s="73">
        <f t="shared" si="1"/>
        <v>0.70699999999999996</v>
      </c>
      <c r="AC31" s="60">
        <f>2/3+0.04</f>
        <v>0.70666666666666667</v>
      </c>
      <c r="AD31" s="60" t="s">
        <v>150</v>
      </c>
      <c r="AE31" s="60" t="s">
        <v>151</v>
      </c>
      <c r="AH31" s="73"/>
      <c r="AI31" s="73"/>
      <c r="AN31" s="73"/>
      <c r="AO31" s="73"/>
      <c r="AP31" s="73"/>
    </row>
    <row r="32" spans="1:42" s="61" customFormat="1" ht="115.95" customHeight="1">
      <c r="A32" s="58" t="s">
        <v>494</v>
      </c>
      <c r="B32" s="61">
        <v>1</v>
      </c>
      <c r="C32" s="61">
        <v>2008</v>
      </c>
      <c r="D32" s="60" t="s">
        <v>458</v>
      </c>
      <c r="E32" s="60" t="s">
        <v>459</v>
      </c>
      <c r="F32" s="60" t="s">
        <v>457</v>
      </c>
      <c r="G32" s="60" t="s">
        <v>55</v>
      </c>
      <c r="H32" s="60" t="s">
        <v>39</v>
      </c>
      <c r="I32" s="70" t="s">
        <v>267</v>
      </c>
      <c r="J32" s="60" t="s">
        <v>849</v>
      </c>
      <c r="K32" s="60" t="s">
        <v>40</v>
      </c>
      <c r="L32" s="83" t="s">
        <v>436</v>
      </c>
      <c r="M32" s="61" t="s">
        <v>39</v>
      </c>
      <c r="N32" s="61" t="s">
        <v>39</v>
      </c>
      <c r="O32" s="63">
        <v>99</v>
      </c>
      <c r="P32" s="61" t="s">
        <v>267</v>
      </c>
      <c r="Q32" s="61" t="s">
        <v>364</v>
      </c>
      <c r="R32" s="61" t="s">
        <v>267</v>
      </c>
      <c r="S32" s="61">
        <v>2</v>
      </c>
      <c r="T32" s="61" t="s">
        <v>460</v>
      </c>
      <c r="U32" s="68" t="s">
        <v>1130</v>
      </c>
      <c r="V32" s="73"/>
      <c r="W32" s="73">
        <v>1.1000000000000001</v>
      </c>
      <c r="X32" s="73">
        <v>1.1100000000000001</v>
      </c>
      <c r="Y32" s="73" t="s">
        <v>1044</v>
      </c>
      <c r="Z32" s="73">
        <v>1.1000000000000001</v>
      </c>
      <c r="AA32" s="73">
        <v>1.1100000000000001</v>
      </c>
      <c r="AB32" s="73">
        <f t="shared" si="1"/>
        <v>1.1000000000000001</v>
      </c>
      <c r="AC32" s="60">
        <f>0.51 + 3/5</f>
        <v>1.1099999999999999</v>
      </c>
      <c r="AD32" s="60">
        <v>110</v>
      </c>
      <c r="AE32" s="60" t="s">
        <v>52</v>
      </c>
      <c r="AF32" s="60"/>
      <c r="AG32" s="60"/>
      <c r="AH32" s="73"/>
      <c r="AI32" s="73"/>
      <c r="AN32" s="73"/>
      <c r="AO32" s="73"/>
      <c r="AP32" s="73"/>
    </row>
    <row r="33" spans="1:42" s="61" customFormat="1" ht="156" customHeight="1">
      <c r="A33" s="58" t="s">
        <v>495</v>
      </c>
      <c r="B33" s="61">
        <v>0</v>
      </c>
      <c r="C33" s="61">
        <v>1993</v>
      </c>
      <c r="D33" s="60" t="s">
        <v>1068</v>
      </c>
      <c r="E33" s="60" t="s">
        <v>40</v>
      </c>
      <c r="F33" s="60" t="s">
        <v>555</v>
      </c>
      <c r="G33" s="60" t="s">
        <v>51</v>
      </c>
      <c r="H33" s="60" t="s">
        <v>39</v>
      </c>
      <c r="I33" s="70" t="s">
        <v>217</v>
      </c>
      <c r="J33" s="60" t="s">
        <v>40</v>
      </c>
      <c r="K33" s="60" t="s">
        <v>321</v>
      </c>
      <c r="L33" s="61" t="s">
        <v>39</v>
      </c>
      <c r="M33" s="61" t="s">
        <v>39</v>
      </c>
      <c r="N33" s="61" t="s">
        <v>39</v>
      </c>
      <c r="O33" s="64" t="s">
        <v>345</v>
      </c>
      <c r="P33" s="61" t="s">
        <v>217</v>
      </c>
      <c r="Q33" s="61" t="s">
        <v>51</v>
      </c>
      <c r="R33" s="61" t="s">
        <v>267</v>
      </c>
      <c r="S33" s="61">
        <v>2</v>
      </c>
      <c r="T33" s="61" t="s">
        <v>435</v>
      </c>
      <c r="U33" s="68" t="s">
        <v>984</v>
      </c>
      <c r="V33" s="73"/>
      <c r="W33" s="73">
        <f t="shared" si="2"/>
        <v>1.177</v>
      </c>
      <c r="X33" s="73">
        <v>1.1767000000000001</v>
      </c>
      <c r="Y33" s="73" t="s">
        <v>1044</v>
      </c>
      <c r="Z33" s="73">
        <f t="shared" si="0"/>
        <v>1.177</v>
      </c>
      <c r="AA33" s="73">
        <v>1.1767000000000001</v>
      </c>
      <c r="AB33" s="73">
        <f t="shared" si="1"/>
        <v>1.177</v>
      </c>
      <c r="AC33" s="60">
        <f>2/3+0.5 + 0.01</f>
        <v>1.1766666666666665</v>
      </c>
      <c r="AD33" s="60" t="s">
        <v>214</v>
      </c>
      <c r="AE33" s="60" t="s">
        <v>229</v>
      </c>
      <c r="AF33" s="60" t="s">
        <v>1055</v>
      </c>
      <c r="AG33" s="60"/>
      <c r="AH33" s="73"/>
      <c r="AI33" s="73"/>
      <c r="AN33" s="73"/>
      <c r="AO33" s="73"/>
      <c r="AP33" s="73"/>
    </row>
    <row r="34" spans="1:42" s="61" customFormat="1" ht="94.95" customHeight="1">
      <c r="A34" s="58" t="s">
        <v>496</v>
      </c>
      <c r="B34" s="61">
        <v>0</v>
      </c>
      <c r="C34" s="61">
        <v>1995</v>
      </c>
      <c r="D34" s="60" t="s">
        <v>559</v>
      </c>
      <c r="E34" s="60" t="s">
        <v>40</v>
      </c>
      <c r="F34" s="70" t="s">
        <v>666</v>
      </c>
      <c r="G34" s="60" t="s">
        <v>71</v>
      </c>
      <c r="H34" s="60" t="s">
        <v>39</v>
      </c>
      <c r="I34" s="70" t="s">
        <v>217</v>
      </c>
      <c r="J34" s="60" t="s">
        <v>456</v>
      </c>
      <c r="K34" s="60" t="s">
        <v>562</v>
      </c>
      <c r="L34" s="61" t="s">
        <v>39</v>
      </c>
      <c r="M34" s="61" t="s">
        <v>39</v>
      </c>
      <c r="N34" s="61" t="s">
        <v>39</v>
      </c>
      <c r="O34" s="61" t="s">
        <v>138</v>
      </c>
      <c r="P34" s="61" t="s">
        <v>267</v>
      </c>
      <c r="Q34" s="61" t="s">
        <v>560</v>
      </c>
      <c r="R34" s="61" t="s">
        <v>267</v>
      </c>
      <c r="S34" s="61">
        <v>2</v>
      </c>
      <c r="T34" s="61" t="s">
        <v>435</v>
      </c>
      <c r="U34" s="68" t="s">
        <v>967</v>
      </c>
      <c r="V34" s="73"/>
      <c r="W34" s="73">
        <f t="shared" si="2"/>
        <v>1</v>
      </c>
      <c r="X34" s="73">
        <v>1</v>
      </c>
      <c r="Y34" s="73" t="s">
        <v>1044</v>
      </c>
      <c r="Z34" s="73">
        <f t="shared" si="0"/>
        <v>1</v>
      </c>
      <c r="AA34" s="73">
        <v>1</v>
      </c>
      <c r="AB34" s="73">
        <f t="shared" si="1"/>
        <v>1</v>
      </c>
      <c r="AC34" s="60">
        <f>1</f>
        <v>1</v>
      </c>
      <c r="AD34" s="60" t="s">
        <v>558</v>
      </c>
      <c r="AE34" s="60" t="s">
        <v>557</v>
      </c>
      <c r="AF34" s="60"/>
      <c r="AG34" s="60" t="s">
        <v>561</v>
      </c>
      <c r="AH34" s="73"/>
      <c r="AI34" s="73"/>
      <c r="AN34" s="73"/>
      <c r="AO34" s="73"/>
      <c r="AP34" s="73"/>
    </row>
    <row r="35" spans="1:42" s="61" customFormat="1" ht="91.95" customHeight="1">
      <c r="A35" s="58" t="s">
        <v>497</v>
      </c>
      <c r="B35" s="61">
        <v>0</v>
      </c>
      <c r="C35" s="61">
        <v>2013</v>
      </c>
      <c r="D35" s="60" t="s">
        <v>568</v>
      </c>
      <c r="E35" s="60" t="s">
        <v>40</v>
      </c>
      <c r="F35" s="60" t="s">
        <v>567</v>
      </c>
      <c r="G35" s="60" t="s">
        <v>51</v>
      </c>
      <c r="H35" s="60" t="s">
        <v>39</v>
      </c>
      <c r="I35" s="70" t="s">
        <v>217</v>
      </c>
      <c r="J35" s="60" t="s">
        <v>565</v>
      </c>
      <c r="K35" s="60" t="s">
        <v>566</v>
      </c>
      <c r="L35" s="61" t="s">
        <v>39</v>
      </c>
      <c r="M35" s="61" t="s">
        <v>39</v>
      </c>
      <c r="N35" s="61" t="s">
        <v>39</v>
      </c>
      <c r="O35" s="64" t="s">
        <v>345</v>
      </c>
      <c r="P35" s="61" t="s">
        <v>217</v>
      </c>
      <c r="Q35" s="69" t="s">
        <v>51</v>
      </c>
      <c r="R35" s="61" t="s">
        <v>267</v>
      </c>
      <c r="S35" s="61">
        <v>1</v>
      </c>
      <c r="T35" s="61" t="s">
        <v>417</v>
      </c>
      <c r="U35" s="65" t="s">
        <v>998</v>
      </c>
      <c r="V35" s="73"/>
      <c r="W35" s="73">
        <f t="shared" si="2"/>
        <v>0.68700000000000006</v>
      </c>
      <c r="X35" s="73">
        <v>0.68669999999999998</v>
      </c>
      <c r="Y35" s="73" t="s">
        <v>1044</v>
      </c>
      <c r="Z35" s="73">
        <f t="shared" si="0"/>
        <v>0.68700000000000006</v>
      </c>
      <c r="AA35" s="73">
        <v>0.68669999999999998</v>
      </c>
      <c r="AB35" s="73">
        <f t="shared" si="1"/>
        <v>0.68700000000000006</v>
      </c>
      <c r="AC35" s="60">
        <f>2/3+0.02</f>
        <v>0.68666666666666665</v>
      </c>
      <c r="AD35" s="60" t="s">
        <v>569</v>
      </c>
      <c r="AE35" s="60" t="s">
        <v>224</v>
      </c>
      <c r="AF35" s="60" t="s">
        <v>1056</v>
      </c>
      <c r="AG35" s="60"/>
      <c r="AH35" s="73"/>
      <c r="AI35" s="73"/>
      <c r="AN35" s="73"/>
      <c r="AO35" s="73"/>
      <c r="AP35" s="73"/>
    </row>
    <row r="36" spans="1:42" s="61" customFormat="1" ht="112.95" customHeight="1">
      <c r="A36" s="58" t="s">
        <v>498</v>
      </c>
      <c r="B36" s="61">
        <v>1</v>
      </c>
      <c r="C36" s="61">
        <v>2013</v>
      </c>
      <c r="D36" s="60" t="s">
        <v>696</v>
      </c>
      <c r="E36" s="60" t="s">
        <v>40</v>
      </c>
      <c r="F36" s="60" t="s">
        <v>570</v>
      </c>
      <c r="G36" s="60" t="s">
        <v>51</v>
      </c>
      <c r="H36" s="60" t="s">
        <v>39</v>
      </c>
      <c r="I36" s="70" t="s">
        <v>267</v>
      </c>
      <c r="J36" s="60" t="s">
        <v>850</v>
      </c>
      <c r="K36" s="60" t="s">
        <v>571</v>
      </c>
      <c r="L36" s="61" t="s">
        <v>39</v>
      </c>
      <c r="M36" s="61" t="s">
        <v>39</v>
      </c>
      <c r="N36" s="61" t="s">
        <v>39</v>
      </c>
      <c r="O36" s="64" t="s">
        <v>345</v>
      </c>
      <c r="P36" s="61" t="s">
        <v>217</v>
      </c>
      <c r="Q36" s="61" t="s">
        <v>51</v>
      </c>
      <c r="R36" s="61" t="s">
        <v>267</v>
      </c>
      <c r="S36" s="61">
        <v>1</v>
      </c>
      <c r="T36" s="61" t="s">
        <v>417</v>
      </c>
      <c r="U36" s="68" t="s">
        <v>884</v>
      </c>
      <c r="V36" s="73"/>
      <c r="W36" s="73">
        <f t="shared" si="2"/>
        <v>0.67700000000000005</v>
      </c>
      <c r="X36" s="73">
        <v>0.67669999999999997</v>
      </c>
      <c r="Y36" s="73" t="s">
        <v>1044</v>
      </c>
      <c r="Z36" s="73">
        <f t="shared" si="0"/>
        <v>0.67700000000000005</v>
      </c>
      <c r="AA36" s="73">
        <v>0.67669999999999997</v>
      </c>
      <c r="AB36" s="73">
        <f t="shared" si="1"/>
        <v>0.67700000000000005</v>
      </c>
      <c r="AC36" s="60">
        <f>2/3+0.01</f>
        <v>0.67666666666666664</v>
      </c>
      <c r="AD36" s="60" t="s">
        <v>258</v>
      </c>
      <c r="AE36" s="60" t="s">
        <v>940</v>
      </c>
      <c r="AF36" s="60" t="s">
        <v>978</v>
      </c>
    </row>
    <row r="37" spans="1:42" s="61" customFormat="1" ht="58.05" customHeight="1">
      <c r="A37" s="58" t="s">
        <v>499</v>
      </c>
      <c r="B37" s="61">
        <v>1</v>
      </c>
      <c r="C37" s="61">
        <v>1999</v>
      </c>
      <c r="D37" s="60" t="s">
        <v>573</v>
      </c>
      <c r="E37" s="60" t="s">
        <v>40</v>
      </c>
      <c r="F37" s="60" t="s">
        <v>391</v>
      </c>
      <c r="G37" s="60" t="s">
        <v>71</v>
      </c>
      <c r="H37" s="60" t="s">
        <v>39</v>
      </c>
      <c r="I37" s="70" t="s">
        <v>217</v>
      </c>
      <c r="J37" s="60" t="s">
        <v>576</v>
      </c>
      <c r="K37" s="60" t="s">
        <v>575</v>
      </c>
      <c r="L37" s="61" t="s">
        <v>71</v>
      </c>
      <c r="M37" s="61" t="s">
        <v>39</v>
      </c>
      <c r="N37" s="61" t="s">
        <v>39</v>
      </c>
      <c r="O37" s="63">
        <v>99</v>
      </c>
      <c r="P37" s="61" t="s">
        <v>138</v>
      </c>
      <c r="Q37" s="61" t="s">
        <v>574</v>
      </c>
      <c r="R37" s="61" t="s">
        <v>267</v>
      </c>
      <c r="S37" s="61">
        <v>3</v>
      </c>
      <c r="T37" s="61" t="s">
        <v>973</v>
      </c>
      <c r="U37" s="71" t="s">
        <v>856</v>
      </c>
      <c r="V37" s="73"/>
      <c r="W37" s="73">
        <f t="shared" si="2"/>
        <v>1.01</v>
      </c>
      <c r="X37" s="73">
        <v>1.01</v>
      </c>
      <c r="Y37" s="73" t="s">
        <v>1044</v>
      </c>
      <c r="Z37" s="73">
        <f t="shared" si="0"/>
        <v>1.01</v>
      </c>
      <c r="AA37" s="73">
        <v>1.01</v>
      </c>
      <c r="AB37" s="73">
        <f t="shared" si="1"/>
        <v>1.01</v>
      </c>
      <c r="AC37" s="60">
        <f>1+0.01</f>
        <v>1.01</v>
      </c>
      <c r="AD37" s="60">
        <v>79</v>
      </c>
      <c r="AE37" s="60" t="s">
        <v>61</v>
      </c>
      <c r="AF37" s="60"/>
      <c r="AG37" s="60" t="s">
        <v>248</v>
      </c>
      <c r="AH37" s="73"/>
      <c r="AI37" s="73"/>
      <c r="AN37" s="73"/>
      <c r="AO37" s="73"/>
      <c r="AP37" s="73"/>
    </row>
    <row r="38" spans="1:42" s="61" customFormat="1" ht="75" customHeight="1">
      <c r="A38" s="58" t="s">
        <v>500</v>
      </c>
      <c r="B38" s="61">
        <v>0</v>
      </c>
      <c r="C38" s="61">
        <v>2012</v>
      </c>
      <c r="D38" s="60" t="s">
        <v>579</v>
      </c>
      <c r="E38" s="60" t="s">
        <v>40</v>
      </c>
      <c r="F38" s="70" t="s">
        <v>666</v>
      </c>
      <c r="G38" s="60" t="s">
        <v>577</v>
      </c>
      <c r="H38" s="60" t="s">
        <v>577</v>
      </c>
      <c r="I38" s="70" t="s">
        <v>267</v>
      </c>
      <c r="J38" s="60" t="s">
        <v>851</v>
      </c>
      <c r="K38" s="60" t="s">
        <v>40</v>
      </c>
      <c r="L38" s="61" t="s">
        <v>39</v>
      </c>
      <c r="M38" s="61" t="s">
        <v>39</v>
      </c>
      <c r="N38" s="61" t="s">
        <v>578</v>
      </c>
      <c r="O38" s="61" t="s">
        <v>582</v>
      </c>
      <c r="P38" s="61" t="s">
        <v>217</v>
      </c>
      <c r="Q38" s="61" t="s">
        <v>581</v>
      </c>
      <c r="R38" s="61" t="s">
        <v>217</v>
      </c>
      <c r="S38" s="61">
        <v>2</v>
      </c>
      <c r="T38" s="61" t="s">
        <v>348</v>
      </c>
      <c r="U38" s="68" t="s">
        <v>1131</v>
      </c>
      <c r="V38" s="73">
        <v>4.4999999999999998E-2</v>
      </c>
      <c r="W38" s="73">
        <v>0.53300000000000003</v>
      </c>
      <c r="X38" s="73">
        <f>0.51+(0.51*V38)+0.01</f>
        <v>0.54295000000000004</v>
      </c>
      <c r="Y38" s="73">
        <v>9.9000000000000005E-2</v>
      </c>
      <c r="Z38" s="73">
        <v>0.56000000000000005</v>
      </c>
      <c r="AA38" s="73">
        <f>0.51+(0.51*Y38)+0.01</f>
        <v>0.57049000000000005</v>
      </c>
      <c r="AB38" s="73">
        <f t="shared" si="1"/>
        <v>0.54649999999999999</v>
      </c>
      <c r="AC38" s="60">
        <f>1.5*0.51+0.01</f>
        <v>0.77500000000000002</v>
      </c>
      <c r="AD38" s="60">
        <v>368</v>
      </c>
      <c r="AE38" s="60" t="s">
        <v>145</v>
      </c>
      <c r="AF38" s="60"/>
      <c r="AG38" s="60"/>
      <c r="AH38" s="73"/>
      <c r="AI38" s="73"/>
      <c r="AN38" s="73"/>
      <c r="AO38" s="73"/>
      <c r="AP38" s="73"/>
    </row>
    <row r="39" spans="1:42" s="61" customFormat="1" ht="61.05" customHeight="1">
      <c r="A39" s="58" t="s">
        <v>501</v>
      </c>
      <c r="B39" s="61">
        <v>0</v>
      </c>
      <c r="C39" s="61">
        <v>2002</v>
      </c>
      <c r="D39" s="60" t="s">
        <v>580</v>
      </c>
      <c r="E39" s="60" t="s">
        <v>40</v>
      </c>
      <c r="F39" s="60" t="s">
        <v>671</v>
      </c>
      <c r="G39" s="60" t="s">
        <v>577</v>
      </c>
      <c r="H39" s="60" t="s">
        <v>577</v>
      </c>
      <c r="I39" s="70" t="s">
        <v>217</v>
      </c>
      <c r="J39" s="60" t="s">
        <v>40</v>
      </c>
      <c r="K39" s="60" t="s">
        <v>40</v>
      </c>
      <c r="L39" s="61" t="s">
        <v>39</v>
      </c>
      <c r="M39" s="61" t="s">
        <v>39</v>
      </c>
      <c r="N39" s="61" t="s">
        <v>39</v>
      </c>
      <c r="O39" s="61" t="s">
        <v>582</v>
      </c>
      <c r="P39" s="61" t="s">
        <v>217</v>
      </c>
      <c r="Q39" s="61" t="s">
        <v>581</v>
      </c>
      <c r="R39" s="81" t="s">
        <v>217</v>
      </c>
      <c r="S39" s="61">
        <v>2</v>
      </c>
      <c r="T39" s="61" t="s">
        <v>348</v>
      </c>
      <c r="U39" s="68" t="s">
        <v>1078</v>
      </c>
      <c r="V39" s="73">
        <v>0</v>
      </c>
      <c r="W39" s="73">
        <f t="shared" si="2"/>
        <v>0.51</v>
      </c>
      <c r="X39" s="73">
        <v>0.51</v>
      </c>
      <c r="Y39" s="73">
        <v>0</v>
      </c>
      <c r="Z39" s="73">
        <f t="shared" si="0"/>
        <v>0.51</v>
      </c>
      <c r="AA39" s="73">
        <v>0.51</v>
      </c>
      <c r="AB39" s="73">
        <f t="shared" si="1"/>
        <v>0.51</v>
      </c>
      <c r="AC39" s="60">
        <f>1.5*0.5+0.01</f>
        <v>0.76</v>
      </c>
      <c r="AD39" s="60">
        <v>37</v>
      </c>
      <c r="AE39" s="60" t="s">
        <v>153</v>
      </c>
      <c r="AF39" s="60"/>
      <c r="AG39" s="60"/>
      <c r="AH39" s="73"/>
      <c r="AI39" s="73"/>
      <c r="AN39" s="73"/>
      <c r="AO39" s="73"/>
      <c r="AP39" s="73"/>
    </row>
    <row r="40" spans="1:42" s="61" customFormat="1" ht="69" customHeight="1">
      <c r="A40" s="58" t="s">
        <v>502</v>
      </c>
      <c r="B40" s="61">
        <v>1</v>
      </c>
      <c r="C40" s="61">
        <v>2012</v>
      </c>
      <c r="D40" s="60" t="s">
        <v>1014</v>
      </c>
      <c r="E40" s="60" t="s">
        <v>40</v>
      </c>
      <c r="F40" s="60" t="s">
        <v>583</v>
      </c>
      <c r="G40" s="60" t="s">
        <v>71</v>
      </c>
      <c r="H40" s="60" t="s">
        <v>71</v>
      </c>
      <c r="I40" s="70" t="s">
        <v>217</v>
      </c>
      <c r="J40" s="60" t="s">
        <v>452</v>
      </c>
      <c r="K40" s="60" t="s">
        <v>584</v>
      </c>
      <c r="L40" s="61" t="s">
        <v>39</v>
      </c>
      <c r="M40" s="61" t="s">
        <v>39</v>
      </c>
      <c r="N40" s="61" t="s">
        <v>39</v>
      </c>
      <c r="O40" s="61" t="s">
        <v>71</v>
      </c>
      <c r="P40" s="61" t="s">
        <v>217</v>
      </c>
      <c r="Q40" s="61" t="s">
        <v>71</v>
      </c>
      <c r="R40" s="61" t="s">
        <v>217</v>
      </c>
      <c r="S40" s="61">
        <v>3</v>
      </c>
      <c r="T40" s="61" t="s">
        <v>323</v>
      </c>
      <c r="U40" s="68" t="s">
        <v>1079</v>
      </c>
      <c r="V40" s="73">
        <v>8.5000000000000006E-2</v>
      </c>
      <c r="W40" s="73">
        <f t="shared" si="2"/>
        <v>1.0429999999999999</v>
      </c>
      <c r="X40" s="73">
        <f>0.5+(0.5*V40)+0.5</f>
        <v>1.0425</v>
      </c>
      <c r="Y40" s="73">
        <v>0.17</v>
      </c>
      <c r="Z40" s="73">
        <f t="shared" si="0"/>
        <v>1.085</v>
      </c>
      <c r="AA40" s="73">
        <f>0.5+(0.5*Y40)+0.5</f>
        <v>1.085</v>
      </c>
      <c r="AB40" s="73">
        <f t="shared" si="1"/>
        <v>1.0640000000000001</v>
      </c>
      <c r="AC40" s="60">
        <f>1.5*0.5+0.5+0</f>
        <v>1.25</v>
      </c>
      <c r="AD40" s="60" t="s">
        <v>53</v>
      </c>
      <c r="AE40" s="60" t="s">
        <v>1116</v>
      </c>
      <c r="AF40" s="60"/>
      <c r="AG40" s="60"/>
      <c r="AH40" s="73"/>
      <c r="AI40" s="73"/>
      <c r="AN40" s="73"/>
      <c r="AO40" s="73"/>
      <c r="AP40" s="73"/>
    </row>
    <row r="41" spans="1:42" s="61" customFormat="1" ht="76.95" customHeight="1">
      <c r="A41" s="58" t="s">
        <v>503</v>
      </c>
      <c r="B41" s="61">
        <v>1</v>
      </c>
      <c r="C41" s="61">
        <v>2012</v>
      </c>
      <c r="D41" s="60" t="s">
        <v>589</v>
      </c>
      <c r="E41" s="60"/>
      <c r="F41" s="60" t="s">
        <v>296</v>
      </c>
      <c r="G41" s="60" t="s">
        <v>55</v>
      </c>
      <c r="H41" s="60" t="s">
        <v>55</v>
      </c>
      <c r="I41" s="70" t="s">
        <v>267</v>
      </c>
      <c r="J41" s="70" t="s">
        <v>849</v>
      </c>
      <c r="K41" s="60" t="s">
        <v>588</v>
      </c>
      <c r="L41" s="61" t="s">
        <v>39</v>
      </c>
      <c r="M41" s="61" t="s">
        <v>39</v>
      </c>
      <c r="N41" s="61" t="s">
        <v>39</v>
      </c>
      <c r="O41" s="61" t="s">
        <v>71</v>
      </c>
      <c r="P41" s="61" t="s">
        <v>590</v>
      </c>
      <c r="Q41" s="61" t="s">
        <v>55</v>
      </c>
      <c r="R41" s="61" t="s">
        <v>217</v>
      </c>
      <c r="S41" s="61">
        <v>3</v>
      </c>
      <c r="T41" s="61" t="s">
        <v>323</v>
      </c>
      <c r="U41" s="68" t="s">
        <v>1132</v>
      </c>
      <c r="V41" s="73">
        <v>8.3000000000000004E-2</v>
      </c>
      <c r="W41" s="73">
        <v>1.042</v>
      </c>
      <c r="X41" s="73">
        <f>0.51+(0.51*V41)+0.01+0.01+0.5-0.01</f>
        <v>1.06233</v>
      </c>
      <c r="Y41" s="73">
        <v>0.17</v>
      </c>
      <c r="Z41" s="73">
        <f t="shared" si="0"/>
        <v>1.095</v>
      </c>
      <c r="AA41" s="73">
        <f>0.5+(0.5*Y41)+0.01+0.01+0.5-0.01</f>
        <v>1.095</v>
      </c>
      <c r="AB41" s="73">
        <f t="shared" si="1"/>
        <v>1.0685</v>
      </c>
      <c r="AC41" s="60">
        <f>0.51*1.5+0.5+0.02-0.01</f>
        <v>1.2750000000000001</v>
      </c>
      <c r="AD41" s="60" t="s">
        <v>46</v>
      </c>
      <c r="AE41" s="60" t="s">
        <v>42</v>
      </c>
      <c r="AF41" s="60"/>
      <c r="AG41" s="60"/>
      <c r="AH41" s="73"/>
      <c r="AI41" s="73"/>
      <c r="AN41" s="73"/>
      <c r="AO41" s="73"/>
      <c r="AP41" s="73"/>
    </row>
    <row r="42" spans="1:42" s="61" customFormat="1" ht="76.95" customHeight="1">
      <c r="A42" s="58" t="s">
        <v>1127</v>
      </c>
      <c r="B42" s="61">
        <v>1</v>
      </c>
      <c r="C42" s="61">
        <v>2013</v>
      </c>
      <c r="D42" s="60"/>
      <c r="E42" s="60"/>
      <c r="F42" s="60"/>
      <c r="G42" s="60"/>
      <c r="H42" s="60"/>
      <c r="I42" s="70"/>
      <c r="J42" s="70"/>
      <c r="K42" s="60"/>
      <c r="U42" s="68" t="s">
        <v>1128</v>
      </c>
      <c r="V42" s="73"/>
      <c r="W42" s="73">
        <v>0.5</v>
      </c>
      <c r="X42" s="73"/>
      <c r="Y42" s="73"/>
      <c r="Z42" s="73">
        <v>0.5</v>
      </c>
      <c r="AA42" s="73"/>
      <c r="AB42" s="73">
        <f t="shared" si="1"/>
        <v>0.5</v>
      </c>
      <c r="AC42" s="60"/>
      <c r="AD42" s="60"/>
      <c r="AE42" s="60"/>
      <c r="AF42" s="60"/>
      <c r="AG42" s="60"/>
      <c r="AH42" s="73"/>
      <c r="AI42" s="73"/>
      <c r="AN42" s="73"/>
      <c r="AO42" s="73"/>
      <c r="AP42" s="73"/>
    </row>
    <row r="43" spans="1:42" s="61" customFormat="1" ht="187.95" customHeight="1">
      <c r="A43" s="58" t="s">
        <v>504</v>
      </c>
      <c r="B43" s="61">
        <v>0</v>
      </c>
      <c r="C43" s="61">
        <v>1994</v>
      </c>
      <c r="D43" s="60" t="s">
        <v>840</v>
      </c>
      <c r="E43" s="60" t="s">
        <v>40</v>
      </c>
      <c r="F43" s="60" t="s">
        <v>700</v>
      </c>
      <c r="G43" s="60" t="s">
        <v>560</v>
      </c>
      <c r="H43" s="60" t="s">
        <v>560</v>
      </c>
      <c r="I43" s="70" t="s">
        <v>138</v>
      </c>
      <c r="J43" s="60" t="s">
        <v>40</v>
      </c>
      <c r="K43" s="60" t="s">
        <v>841</v>
      </c>
      <c r="L43" s="61" t="s">
        <v>39</v>
      </c>
      <c r="M43" s="61" t="s">
        <v>39</v>
      </c>
      <c r="N43" s="61" t="s">
        <v>39</v>
      </c>
      <c r="O43" s="63">
        <v>99</v>
      </c>
      <c r="P43" s="61" t="s">
        <v>267</v>
      </c>
      <c r="Q43" s="61" t="s">
        <v>560</v>
      </c>
      <c r="R43" s="61" t="s">
        <v>217</v>
      </c>
      <c r="S43" s="61">
        <v>2</v>
      </c>
      <c r="T43" s="61" t="s">
        <v>348</v>
      </c>
      <c r="U43" s="68" t="s">
        <v>1080</v>
      </c>
      <c r="V43" s="73">
        <v>1.7000000000000001E-2</v>
      </c>
      <c r="W43" s="73">
        <f t="shared" si="2"/>
        <v>0.52900000000000003</v>
      </c>
      <c r="X43" s="73">
        <f>0.5+(0.5*V43)+0.01+0.01</f>
        <v>0.52849999999999997</v>
      </c>
      <c r="Y43" s="73">
        <v>2.4E-2</v>
      </c>
      <c r="Z43" s="73">
        <f t="shared" si="0"/>
        <v>0.53200000000000003</v>
      </c>
      <c r="AA43" s="73">
        <f>0.5+(0.5*Y43)+0.01+0.01</f>
        <v>0.53200000000000003</v>
      </c>
      <c r="AB43" s="73">
        <f t="shared" si="1"/>
        <v>0.53049999999999997</v>
      </c>
      <c r="AC43" s="60">
        <f>1.5*0.5 +0.02</f>
        <v>0.77</v>
      </c>
      <c r="AD43" s="60">
        <v>49</v>
      </c>
      <c r="AE43" s="60" t="s">
        <v>203</v>
      </c>
      <c r="AF43" s="60"/>
      <c r="AG43" s="60"/>
      <c r="AH43" s="73"/>
      <c r="AI43" s="73"/>
      <c r="AN43" s="73"/>
      <c r="AO43" s="73"/>
      <c r="AP43" s="73"/>
    </row>
    <row r="44" spans="1:42" s="61" customFormat="1" ht="58.05" customHeight="1">
      <c r="A44" s="58" t="s">
        <v>505</v>
      </c>
      <c r="B44" s="61">
        <v>1</v>
      </c>
      <c r="C44" s="61">
        <v>1946</v>
      </c>
      <c r="D44" s="60" t="s">
        <v>591</v>
      </c>
      <c r="E44" s="60" t="s">
        <v>40</v>
      </c>
      <c r="F44" s="70" t="s">
        <v>666</v>
      </c>
      <c r="G44" s="60" t="s">
        <v>51</v>
      </c>
      <c r="H44" s="60" t="s">
        <v>51</v>
      </c>
      <c r="I44" s="70" t="s">
        <v>267</v>
      </c>
      <c r="J44" s="60" t="s">
        <v>40</v>
      </c>
      <c r="K44" s="60" t="s">
        <v>584</v>
      </c>
      <c r="L44" s="61" t="s">
        <v>39</v>
      </c>
      <c r="M44" s="61" t="s">
        <v>39</v>
      </c>
      <c r="N44" s="61" t="s">
        <v>39</v>
      </c>
      <c r="O44" s="61" t="s">
        <v>592</v>
      </c>
      <c r="P44" s="61" t="s">
        <v>590</v>
      </c>
      <c r="Q44" s="61" t="s">
        <v>51</v>
      </c>
      <c r="R44" s="61" t="s">
        <v>217</v>
      </c>
      <c r="S44" s="61">
        <v>3</v>
      </c>
      <c r="T44" s="61" t="s">
        <v>323</v>
      </c>
      <c r="U44" s="68" t="s">
        <v>1081</v>
      </c>
      <c r="V44" s="73">
        <v>0.121</v>
      </c>
      <c r="W44" s="73">
        <f t="shared" si="2"/>
        <v>1.2569999999999999</v>
      </c>
      <c r="X44" s="73">
        <f>(2/3)+((2/3)*V44)+0.5+0.01</f>
        <v>1.2573333333333332</v>
      </c>
      <c r="Y44" s="73">
        <v>0.20799999999999999</v>
      </c>
      <c r="Z44" s="73">
        <f t="shared" si="0"/>
        <v>1.3149999999999999</v>
      </c>
      <c r="AA44" s="73">
        <f>(2/3)+((2/3)*Y44)+0.5+0.01</f>
        <v>1.3153333333333332</v>
      </c>
      <c r="AB44" s="73">
        <f t="shared" si="1"/>
        <v>1.286</v>
      </c>
      <c r="AC44" s="60">
        <f>2/3*1.5+0.5+0.01</f>
        <v>1.51</v>
      </c>
      <c r="AD44" s="60">
        <v>96</v>
      </c>
      <c r="AE44" s="60" t="s">
        <v>62</v>
      </c>
      <c r="AF44" s="60"/>
      <c r="AG44" s="60"/>
    </row>
    <row r="45" spans="1:42" s="61" customFormat="1" ht="136.05000000000001" customHeight="1">
      <c r="A45" s="58" t="s">
        <v>506</v>
      </c>
      <c r="B45" s="61">
        <v>0</v>
      </c>
      <c r="C45" s="61" t="s">
        <v>234</v>
      </c>
      <c r="D45" s="60" t="s">
        <v>598</v>
      </c>
      <c r="E45" s="60" t="s">
        <v>40</v>
      </c>
      <c r="F45" s="60" t="s">
        <v>670</v>
      </c>
      <c r="G45" s="60" t="s">
        <v>51</v>
      </c>
      <c r="H45" s="60" t="s">
        <v>51</v>
      </c>
      <c r="I45" s="70" t="s">
        <v>217</v>
      </c>
      <c r="J45" s="60" t="s">
        <v>595</v>
      </c>
      <c r="K45" s="60" t="s">
        <v>596</v>
      </c>
      <c r="L45" s="61" t="s">
        <v>39</v>
      </c>
      <c r="M45" s="61" t="s">
        <v>39</v>
      </c>
      <c r="N45" s="61" t="s">
        <v>597</v>
      </c>
      <c r="O45" s="61" t="s">
        <v>1044</v>
      </c>
      <c r="P45" s="61" t="s">
        <v>599</v>
      </c>
      <c r="Q45" s="61" t="s">
        <v>51</v>
      </c>
      <c r="R45" s="61" t="s">
        <v>217</v>
      </c>
      <c r="S45" s="61">
        <v>3</v>
      </c>
      <c r="T45" s="61" t="s">
        <v>974</v>
      </c>
      <c r="U45" s="68" t="s">
        <v>1082</v>
      </c>
      <c r="V45" s="73">
        <v>2.3E-2</v>
      </c>
      <c r="W45" s="73">
        <f t="shared" si="2"/>
        <v>0.71199999999999997</v>
      </c>
      <c r="X45" s="73">
        <f>(2/3)+((2/3)*V45)+0.01+0.01+0.01</f>
        <v>0.71199999999999997</v>
      </c>
      <c r="Y45" s="73">
        <v>0.04</v>
      </c>
      <c r="Z45" s="73">
        <f t="shared" si="0"/>
        <v>0.72299999999999998</v>
      </c>
      <c r="AA45" s="73">
        <f>(2/3)+((2/3)*Y45)+0.01+0.01+0.01</f>
        <v>0.72333333333333327</v>
      </c>
      <c r="AB45" s="73">
        <f t="shared" si="1"/>
        <v>0.71750000000000003</v>
      </c>
      <c r="AC45" s="60">
        <f>2/3*1.5+0.03</f>
        <v>1.03</v>
      </c>
      <c r="AD45" s="60" t="s">
        <v>593</v>
      </c>
      <c r="AE45" s="60" t="s">
        <v>594</v>
      </c>
      <c r="AF45" s="60" t="s">
        <v>1057</v>
      </c>
      <c r="AG45" s="60"/>
      <c r="AH45" s="73"/>
      <c r="AI45" s="73"/>
      <c r="AN45" s="73"/>
      <c r="AO45" s="73"/>
      <c r="AP45" s="73"/>
    </row>
    <row r="46" spans="1:42" s="61" customFormat="1" ht="138" customHeight="1">
      <c r="A46" s="58" t="s">
        <v>507</v>
      </c>
      <c r="B46" s="61">
        <v>1</v>
      </c>
      <c r="C46" s="61">
        <v>1998</v>
      </c>
      <c r="D46" s="60" t="s">
        <v>605</v>
      </c>
      <c r="E46" s="60" t="s">
        <v>40</v>
      </c>
      <c r="F46" s="60" t="s">
        <v>602</v>
      </c>
      <c r="G46" s="60" t="s">
        <v>51</v>
      </c>
      <c r="H46" s="60" t="s">
        <v>39</v>
      </c>
      <c r="I46" s="70" t="s">
        <v>217</v>
      </c>
      <c r="J46" s="60" t="s">
        <v>604</v>
      </c>
      <c r="K46" s="60" t="s">
        <v>603</v>
      </c>
      <c r="L46" s="61" t="s">
        <v>39</v>
      </c>
      <c r="M46" s="61" t="s">
        <v>39</v>
      </c>
      <c r="N46" s="61" t="s">
        <v>39</v>
      </c>
      <c r="O46" s="64" t="s">
        <v>345</v>
      </c>
      <c r="P46" s="61" t="s">
        <v>217</v>
      </c>
      <c r="Q46" s="61" t="s">
        <v>51</v>
      </c>
      <c r="R46" s="61" t="s">
        <v>267</v>
      </c>
      <c r="S46" s="61">
        <v>2</v>
      </c>
      <c r="T46" s="61" t="s">
        <v>435</v>
      </c>
      <c r="U46" s="68" t="s">
        <v>968</v>
      </c>
      <c r="V46" s="73"/>
      <c r="W46" s="73">
        <f t="shared" si="2"/>
        <v>1.1970000000000001</v>
      </c>
      <c r="X46" s="73">
        <v>1.1967000000000001</v>
      </c>
      <c r="Y46" s="73" t="s">
        <v>1044</v>
      </c>
      <c r="Z46" s="73">
        <f t="shared" si="0"/>
        <v>1.1970000000000001</v>
      </c>
      <c r="AA46" s="73">
        <v>1.1967000000000001</v>
      </c>
      <c r="AB46" s="73">
        <f t="shared" si="1"/>
        <v>1.1970000000000001</v>
      </c>
      <c r="AC46" s="60">
        <f>2/3 + 0.5 +0.03</f>
        <v>1.1966666666666665</v>
      </c>
      <c r="AD46" s="60" t="s">
        <v>600</v>
      </c>
      <c r="AE46" s="60" t="s">
        <v>601</v>
      </c>
      <c r="AF46" s="60" t="s">
        <v>1058</v>
      </c>
      <c r="AG46" s="60"/>
      <c r="AH46" s="73"/>
      <c r="AI46" s="73"/>
      <c r="AN46" s="73"/>
      <c r="AO46" s="73"/>
      <c r="AP46" s="73"/>
    </row>
    <row r="47" spans="1:42" s="61" customFormat="1" ht="126" customHeight="1">
      <c r="A47" s="58" t="s">
        <v>508</v>
      </c>
      <c r="B47" s="61">
        <v>0</v>
      </c>
      <c r="C47" s="61" t="s">
        <v>234</v>
      </c>
      <c r="D47" s="60" t="s">
        <v>1015</v>
      </c>
      <c r="E47" s="60" t="s">
        <v>40</v>
      </c>
      <c r="F47" s="60" t="s">
        <v>669</v>
      </c>
      <c r="G47" s="60" t="s">
        <v>430</v>
      </c>
      <c r="H47" s="60" t="s">
        <v>39</v>
      </c>
      <c r="I47" s="70" t="s">
        <v>217</v>
      </c>
      <c r="J47" s="60" t="s">
        <v>612</v>
      </c>
      <c r="K47" s="60" t="s">
        <v>609</v>
      </c>
      <c r="L47" s="61" t="s">
        <v>39</v>
      </c>
      <c r="M47" s="61" t="s">
        <v>39</v>
      </c>
      <c r="N47" s="61" t="s">
        <v>39</v>
      </c>
      <c r="O47" s="61" t="s">
        <v>51</v>
      </c>
      <c r="P47" s="61" t="s">
        <v>217</v>
      </c>
      <c r="Q47" s="61" t="s">
        <v>51</v>
      </c>
      <c r="R47" s="84" t="s">
        <v>608</v>
      </c>
      <c r="S47" s="61">
        <v>1</v>
      </c>
      <c r="T47" s="61" t="s">
        <v>417</v>
      </c>
      <c r="U47" s="68" t="s">
        <v>969</v>
      </c>
      <c r="V47" s="73"/>
      <c r="W47" s="73">
        <f t="shared" si="2"/>
        <v>0.70699999999999996</v>
      </c>
      <c r="X47" s="73">
        <v>0.70669999999999999</v>
      </c>
      <c r="Y47" s="73" t="s">
        <v>1044</v>
      </c>
      <c r="Z47" s="73">
        <f t="shared" si="0"/>
        <v>0.70699999999999996</v>
      </c>
      <c r="AA47" s="73">
        <v>0.70669999999999999</v>
      </c>
      <c r="AB47" s="73">
        <f t="shared" si="1"/>
        <v>0.70699999999999996</v>
      </c>
      <c r="AC47" s="60">
        <f>2/3+0.04</f>
        <v>0.70666666666666667</v>
      </c>
      <c r="AD47" s="60" t="s">
        <v>607</v>
      </c>
      <c r="AE47" s="60" t="s">
        <v>606</v>
      </c>
      <c r="AF47" s="60" t="s">
        <v>1059</v>
      </c>
      <c r="AG47" s="60" t="s">
        <v>1060</v>
      </c>
      <c r="AH47" s="73"/>
      <c r="AI47" s="73"/>
      <c r="AN47" s="73"/>
      <c r="AO47" s="73"/>
      <c r="AP47" s="73"/>
    </row>
    <row r="48" spans="1:42" s="61" customFormat="1" ht="127.95" customHeight="1">
      <c r="A48" s="58" t="s">
        <v>509</v>
      </c>
      <c r="B48" s="61">
        <v>1</v>
      </c>
      <c r="C48" s="61">
        <v>2007</v>
      </c>
      <c r="D48" s="60" t="s">
        <v>615</v>
      </c>
      <c r="E48" s="60" t="s">
        <v>40</v>
      </c>
      <c r="F48" s="60" t="s">
        <v>668</v>
      </c>
      <c r="G48" s="60" t="s">
        <v>611</v>
      </c>
      <c r="H48" s="60" t="s">
        <v>39</v>
      </c>
      <c r="I48" s="70" t="s">
        <v>267</v>
      </c>
      <c r="J48" s="70" t="s">
        <v>849</v>
      </c>
      <c r="K48" s="60" t="s">
        <v>616</v>
      </c>
      <c r="L48" s="61" t="s">
        <v>39</v>
      </c>
      <c r="M48" s="61" t="s">
        <v>39</v>
      </c>
      <c r="N48" s="61" t="s">
        <v>39</v>
      </c>
      <c r="O48" s="61" t="s">
        <v>51</v>
      </c>
      <c r="P48" s="61" t="s">
        <v>217</v>
      </c>
      <c r="Q48" s="61" t="s">
        <v>613</v>
      </c>
      <c r="R48" s="61" t="s">
        <v>267</v>
      </c>
      <c r="S48" s="61">
        <v>1</v>
      </c>
      <c r="T48" s="61" t="s">
        <v>417</v>
      </c>
      <c r="U48" s="68" t="s">
        <v>614</v>
      </c>
      <c r="V48" s="73"/>
      <c r="W48" s="73">
        <f t="shared" si="2"/>
        <v>0.68700000000000006</v>
      </c>
      <c r="X48" s="73">
        <v>0.68669999999999998</v>
      </c>
      <c r="Y48" s="73" t="s">
        <v>1044</v>
      </c>
      <c r="Z48" s="73">
        <f t="shared" si="0"/>
        <v>0.68700000000000006</v>
      </c>
      <c r="AA48" s="73">
        <v>0.68669999999999998</v>
      </c>
      <c r="AB48" s="73">
        <f t="shared" si="1"/>
        <v>0.68700000000000006</v>
      </c>
      <c r="AC48" s="60">
        <f>2/3+0.02</f>
        <v>0.68666666666666665</v>
      </c>
      <c r="AD48" s="60" t="s">
        <v>154</v>
      </c>
      <c r="AE48" s="60" t="s">
        <v>230</v>
      </c>
      <c r="AF48" s="60"/>
      <c r="AG48" s="60"/>
      <c r="AH48" s="73"/>
      <c r="AI48" s="73"/>
      <c r="AN48" s="73"/>
      <c r="AO48" s="73"/>
      <c r="AP48" s="73"/>
    </row>
    <row r="49" spans="1:42" s="61" customFormat="1" ht="246" customHeight="1">
      <c r="A49" s="58" t="s">
        <v>510</v>
      </c>
      <c r="B49" s="61">
        <v>0</v>
      </c>
      <c r="C49" s="61">
        <v>2004</v>
      </c>
      <c r="D49" s="60" t="s">
        <v>622</v>
      </c>
      <c r="E49" s="60" t="s">
        <v>40</v>
      </c>
      <c r="F49" s="60" t="s">
        <v>619</v>
      </c>
      <c r="G49" s="78" t="s">
        <v>51</v>
      </c>
      <c r="H49" s="60" t="s">
        <v>39</v>
      </c>
      <c r="I49" s="70" t="s">
        <v>267</v>
      </c>
      <c r="J49" s="60" t="s">
        <v>852</v>
      </c>
      <c r="K49" s="60" t="s">
        <v>40</v>
      </c>
      <c r="L49" s="61" t="s">
        <v>39</v>
      </c>
      <c r="M49" s="61" t="s">
        <v>39</v>
      </c>
      <c r="N49" s="61" t="s">
        <v>39</v>
      </c>
      <c r="O49" s="61" t="s">
        <v>138</v>
      </c>
      <c r="P49" s="61" t="s">
        <v>267</v>
      </c>
      <c r="Q49" s="69" t="s">
        <v>51</v>
      </c>
      <c r="R49" s="61" t="s">
        <v>267</v>
      </c>
      <c r="S49" s="61">
        <v>1</v>
      </c>
      <c r="T49" s="61" t="s">
        <v>988</v>
      </c>
      <c r="U49" s="68" t="s">
        <v>987</v>
      </c>
      <c r="V49" s="73"/>
      <c r="W49" s="73">
        <f t="shared" si="2"/>
        <v>0.68700000000000006</v>
      </c>
      <c r="X49" s="73">
        <v>0.68669999999999998</v>
      </c>
      <c r="Y49" s="73" t="s">
        <v>1044</v>
      </c>
      <c r="Z49" s="73">
        <f t="shared" si="0"/>
        <v>0.68700000000000006</v>
      </c>
      <c r="AA49" s="73">
        <v>0.68669999999999998</v>
      </c>
      <c r="AB49" s="73">
        <f t="shared" si="1"/>
        <v>0.68700000000000006</v>
      </c>
      <c r="AC49" s="60">
        <f>2/3+0.02</f>
        <v>0.68666666666666665</v>
      </c>
      <c r="AD49" s="60" t="s">
        <v>617</v>
      </c>
      <c r="AE49" s="60" t="s">
        <v>618</v>
      </c>
      <c r="AF49" s="60" t="s">
        <v>1061</v>
      </c>
      <c r="AG49" s="60" t="s">
        <v>1117</v>
      </c>
      <c r="AH49" s="73"/>
      <c r="AI49" s="73"/>
      <c r="AN49" s="73"/>
      <c r="AO49" s="73"/>
      <c r="AP49" s="73"/>
    </row>
    <row r="50" spans="1:42" s="61" customFormat="1" ht="106.05" customHeight="1">
      <c r="A50" s="58" t="s">
        <v>511</v>
      </c>
      <c r="B50" s="61">
        <v>0</v>
      </c>
      <c r="C50" s="61">
        <v>1998</v>
      </c>
      <c r="D50" s="60" t="s">
        <v>626</v>
      </c>
      <c r="E50" s="60" t="s">
        <v>40</v>
      </c>
      <c r="F50" s="70" t="s">
        <v>666</v>
      </c>
      <c r="G50" s="60" t="s">
        <v>71</v>
      </c>
      <c r="H50" s="60" t="s">
        <v>71</v>
      </c>
      <c r="I50" s="70" t="s">
        <v>267</v>
      </c>
      <c r="J50" s="60" t="s">
        <v>851</v>
      </c>
      <c r="K50" s="60" t="s">
        <v>624</v>
      </c>
      <c r="L50" s="61" t="s">
        <v>39</v>
      </c>
      <c r="M50" s="61" t="s">
        <v>39</v>
      </c>
      <c r="N50" s="61" t="s">
        <v>39</v>
      </c>
      <c r="O50" s="61" t="s">
        <v>138</v>
      </c>
      <c r="P50" s="61" t="s">
        <v>267</v>
      </c>
      <c r="Q50" s="61" t="s">
        <v>71</v>
      </c>
      <c r="R50" s="81" t="s">
        <v>217</v>
      </c>
      <c r="S50" s="81">
        <v>3</v>
      </c>
      <c r="T50" s="61" t="s">
        <v>323</v>
      </c>
      <c r="U50" s="68" t="s">
        <v>1083</v>
      </c>
      <c r="V50" s="73">
        <v>0</v>
      </c>
      <c r="W50" s="73">
        <f t="shared" si="2"/>
        <v>1</v>
      </c>
      <c r="X50" s="73">
        <v>1</v>
      </c>
      <c r="Y50" s="73">
        <v>0</v>
      </c>
      <c r="Z50" s="73">
        <f t="shared" si="0"/>
        <v>1</v>
      </c>
      <c r="AA50" s="73">
        <v>1</v>
      </c>
      <c r="AB50" s="73">
        <f t="shared" si="1"/>
        <v>1</v>
      </c>
      <c r="AC50" s="60">
        <f>0.5*1.5+0.5+0</f>
        <v>1.25</v>
      </c>
      <c r="AD50" s="60">
        <v>85</v>
      </c>
      <c r="AE50" s="60" t="s">
        <v>208</v>
      </c>
      <c r="AF50" s="60"/>
      <c r="AG50" s="60"/>
      <c r="AH50" s="73"/>
      <c r="AI50" s="73"/>
      <c r="AN50" s="73"/>
      <c r="AO50" s="73"/>
      <c r="AP50" s="73"/>
    </row>
    <row r="51" spans="1:42" s="61" customFormat="1" ht="96" customHeight="1">
      <c r="A51" s="58" t="s">
        <v>512</v>
      </c>
      <c r="B51" s="61">
        <v>0</v>
      </c>
      <c r="C51" s="61">
        <v>1986</v>
      </c>
      <c r="D51" s="60" t="s">
        <v>1016</v>
      </c>
      <c r="E51" s="60" t="s">
        <v>40</v>
      </c>
      <c r="F51" s="60" t="s">
        <v>627</v>
      </c>
      <c r="G51" s="60" t="s">
        <v>51</v>
      </c>
      <c r="H51" s="60" t="s">
        <v>51</v>
      </c>
      <c r="I51" s="70" t="s">
        <v>217</v>
      </c>
      <c r="J51" s="60" t="s">
        <v>40</v>
      </c>
      <c r="K51" s="60" t="s">
        <v>628</v>
      </c>
      <c r="L51" s="61" t="s">
        <v>39</v>
      </c>
      <c r="M51" s="61" t="s">
        <v>39</v>
      </c>
      <c r="N51" s="61" t="s">
        <v>39</v>
      </c>
      <c r="O51" s="61" t="s">
        <v>592</v>
      </c>
      <c r="P51" s="61" t="s">
        <v>590</v>
      </c>
      <c r="Q51" s="69" t="s">
        <v>629</v>
      </c>
      <c r="R51" s="61" t="s">
        <v>217</v>
      </c>
      <c r="S51" s="61">
        <v>3</v>
      </c>
      <c r="T51" s="61" t="s">
        <v>323</v>
      </c>
      <c r="U51" s="68" t="s">
        <v>1084</v>
      </c>
      <c r="V51" s="73">
        <v>7.3999999999999996E-2</v>
      </c>
      <c r="W51" s="73">
        <f t="shared" si="2"/>
        <v>1.413</v>
      </c>
      <c r="X51" s="73">
        <f>(2/3)+((2/3)*V51)+(2/3)+0.01+0.01+0.01</f>
        <v>1.4126666666666667</v>
      </c>
      <c r="Y51" s="73">
        <v>0.19</v>
      </c>
      <c r="Z51" s="73">
        <f t="shared" si="0"/>
        <v>1.49</v>
      </c>
      <c r="AA51" s="73">
        <f>(2/3)+((2/3)*Y51)+(2/3)+0.01+0.01+0.01</f>
        <v>1.49</v>
      </c>
      <c r="AB51" s="73">
        <f t="shared" si="1"/>
        <v>1.4515</v>
      </c>
      <c r="AC51" s="60">
        <f>2/3*1.5+0.03 + 2/3</f>
        <v>1.6966666666666668</v>
      </c>
      <c r="AD51" s="60" t="s">
        <v>158</v>
      </c>
      <c r="AE51" s="60" t="s">
        <v>159</v>
      </c>
      <c r="AF51" s="72" t="s">
        <v>1017</v>
      </c>
      <c r="AG51" s="60"/>
      <c r="AH51" s="73"/>
      <c r="AI51" s="73"/>
      <c r="AN51" s="73"/>
      <c r="AO51" s="73"/>
      <c r="AP51" s="73"/>
    </row>
    <row r="52" spans="1:42" s="61" customFormat="1" ht="99" customHeight="1">
      <c r="A52" s="58" t="s">
        <v>513</v>
      </c>
      <c r="B52" s="61">
        <v>1</v>
      </c>
      <c r="C52" s="61">
        <v>2006</v>
      </c>
      <c r="D52" s="60" t="s">
        <v>634</v>
      </c>
      <c r="E52" s="60" t="s">
        <v>434</v>
      </c>
      <c r="F52" s="60" t="s">
        <v>667</v>
      </c>
      <c r="G52" s="60" t="s">
        <v>51</v>
      </c>
      <c r="H52" s="60" t="s">
        <v>39</v>
      </c>
      <c r="I52" s="70" t="s">
        <v>217</v>
      </c>
      <c r="J52" s="60" t="s">
        <v>452</v>
      </c>
      <c r="K52" s="60" t="s">
        <v>633</v>
      </c>
      <c r="L52" s="61" t="s">
        <v>39</v>
      </c>
      <c r="M52" s="61" t="s">
        <v>39</v>
      </c>
      <c r="N52" s="61" t="s">
        <v>39</v>
      </c>
      <c r="O52" s="64" t="s">
        <v>345</v>
      </c>
      <c r="P52" s="61" t="s">
        <v>267</v>
      </c>
      <c r="Q52" s="61" t="s">
        <v>51</v>
      </c>
      <c r="R52" s="61" t="s">
        <v>267</v>
      </c>
      <c r="S52" s="61">
        <v>1</v>
      </c>
      <c r="T52" s="61" t="s">
        <v>417</v>
      </c>
      <c r="U52" s="68" t="s">
        <v>881</v>
      </c>
      <c r="V52" s="73"/>
      <c r="W52" s="73">
        <f t="shared" si="2"/>
        <v>0.69699999999999995</v>
      </c>
      <c r="X52" s="73">
        <v>0.69669999999999999</v>
      </c>
      <c r="Y52" s="73" t="s">
        <v>1044</v>
      </c>
      <c r="Z52" s="73">
        <f t="shared" si="0"/>
        <v>0.69699999999999995</v>
      </c>
      <c r="AA52" s="73">
        <v>0.69669999999999999</v>
      </c>
      <c r="AB52" s="73">
        <f t="shared" si="1"/>
        <v>0.69699999999999995</v>
      </c>
      <c r="AC52" s="60">
        <f>2/3+0.03</f>
        <v>0.69666666666666666</v>
      </c>
      <c r="AD52" s="60" t="s">
        <v>631</v>
      </c>
      <c r="AE52" s="60" t="s">
        <v>632</v>
      </c>
      <c r="AF52" s="60"/>
      <c r="AG52" s="60"/>
      <c r="AH52" s="73"/>
      <c r="AI52" s="73"/>
      <c r="AN52" s="73"/>
      <c r="AO52" s="73"/>
      <c r="AP52" s="73"/>
    </row>
    <row r="53" spans="1:42" s="61" customFormat="1" ht="115.05" customHeight="1">
      <c r="A53" s="58" t="s">
        <v>514</v>
      </c>
      <c r="B53" s="61">
        <v>1</v>
      </c>
      <c r="C53" s="61">
        <v>2009</v>
      </c>
      <c r="D53" s="60" t="s">
        <v>638</v>
      </c>
      <c r="E53" s="60" t="s">
        <v>40</v>
      </c>
      <c r="F53" s="60" t="s">
        <v>455</v>
      </c>
      <c r="G53" s="60" t="s">
        <v>51</v>
      </c>
      <c r="H53" s="60" t="s">
        <v>39</v>
      </c>
      <c r="I53" s="70" t="s">
        <v>267</v>
      </c>
      <c r="J53" s="70" t="s">
        <v>849</v>
      </c>
      <c r="K53" s="60" t="s">
        <v>635</v>
      </c>
      <c r="L53" s="61" t="s">
        <v>39</v>
      </c>
      <c r="M53" s="61" t="s">
        <v>39</v>
      </c>
      <c r="N53" s="61" t="s">
        <v>39</v>
      </c>
      <c r="O53" s="61" t="s">
        <v>51</v>
      </c>
      <c r="P53" s="61" t="s">
        <v>217</v>
      </c>
      <c r="Q53" s="61" t="s">
        <v>51</v>
      </c>
      <c r="R53" s="61" t="s">
        <v>267</v>
      </c>
      <c r="S53" s="61">
        <v>1</v>
      </c>
      <c r="T53" s="61" t="s">
        <v>417</v>
      </c>
      <c r="U53" s="68" t="s">
        <v>882</v>
      </c>
      <c r="V53" s="73"/>
      <c r="W53" s="73">
        <f t="shared" si="2"/>
        <v>0.68700000000000006</v>
      </c>
      <c r="X53" s="73">
        <v>0.68669999999999998</v>
      </c>
      <c r="Y53" s="73" t="s">
        <v>1044</v>
      </c>
      <c r="Z53" s="73">
        <f t="shared" si="0"/>
        <v>0.68700000000000006</v>
      </c>
      <c r="AA53" s="73">
        <v>0.68669999999999998</v>
      </c>
      <c r="AB53" s="73">
        <f t="shared" si="1"/>
        <v>0.68700000000000006</v>
      </c>
      <c r="AC53" s="60">
        <f>2/3+0.02</f>
        <v>0.68666666666666665</v>
      </c>
      <c r="AD53" s="60">
        <v>114</v>
      </c>
      <c r="AE53" s="60" t="s">
        <v>48</v>
      </c>
      <c r="AF53" s="60"/>
      <c r="AG53" s="60"/>
      <c r="AH53" s="73"/>
      <c r="AI53" s="73"/>
      <c r="AN53" s="73"/>
      <c r="AO53" s="73"/>
      <c r="AP53" s="73"/>
    </row>
    <row r="54" spans="1:42" s="61" customFormat="1" ht="207" customHeight="1">
      <c r="A54" s="58" t="s">
        <v>515</v>
      </c>
      <c r="B54" s="61">
        <v>0</v>
      </c>
      <c r="C54" s="61">
        <v>2011</v>
      </c>
      <c r="D54" s="60" t="s">
        <v>1018</v>
      </c>
      <c r="E54" s="60" t="s">
        <v>40</v>
      </c>
      <c r="F54" s="60" t="s">
        <v>639</v>
      </c>
      <c r="G54" s="60" t="s">
        <v>51</v>
      </c>
      <c r="H54" s="60" t="s">
        <v>39</v>
      </c>
      <c r="I54" s="70" t="s">
        <v>217</v>
      </c>
      <c r="J54" s="60" t="s">
        <v>40</v>
      </c>
      <c r="K54" s="60" t="s">
        <v>949</v>
      </c>
      <c r="L54" s="61" t="s">
        <v>39</v>
      </c>
      <c r="M54" s="61" t="s">
        <v>39</v>
      </c>
      <c r="N54" s="61" t="s">
        <v>39</v>
      </c>
      <c r="O54" s="61" t="s">
        <v>51</v>
      </c>
      <c r="P54" s="61" t="s">
        <v>217</v>
      </c>
      <c r="Q54" s="61" t="s">
        <v>51</v>
      </c>
      <c r="R54" s="61" t="s">
        <v>267</v>
      </c>
      <c r="S54" s="61">
        <v>2</v>
      </c>
      <c r="T54" s="61" t="s">
        <v>435</v>
      </c>
      <c r="U54" s="68" t="s">
        <v>983</v>
      </c>
      <c r="V54" s="73"/>
      <c r="W54" s="73">
        <f t="shared" si="2"/>
        <v>0.68700000000000006</v>
      </c>
      <c r="X54" s="73">
        <v>0.68669999999999998</v>
      </c>
      <c r="Y54" s="73" t="s">
        <v>1044</v>
      </c>
      <c r="Z54" s="73">
        <f t="shared" si="0"/>
        <v>0.68700000000000006</v>
      </c>
      <c r="AA54" s="73">
        <v>0.68669999999999998</v>
      </c>
      <c r="AB54" s="73">
        <f t="shared" si="1"/>
        <v>0.68700000000000006</v>
      </c>
      <c r="AC54" s="60">
        <f>2/3+0.02</f>
        <v>0.68666666666666665</v>
      </c>
      <c r="AD54" s="60" t="s">
        <v>642</v>
      </c>
      <c r="AE54" s="60" t="s">
        <v>1118</v>
      </c>
      <c r="AF54" s="60" t="s">
        <v>1062</v>
      </c>
      <c r="AG54" s="60"/>
      <c r="AH54" s="73"/>
      <c r="AI54" s="73"/>
      <c r="AN54" s="73"/>
      <c r="AO54" s="73"/>
      <c r="AP54" s="73"/>
    </row>
    <row r="55" spans="1:42" s="61" customFormat="1" ht="117" customHeight="1">
      <c r="A55" s="58" t="s">
        <v>516</v>
      </c>
      <c r="B55" s="61">
        <v>0</v>
      </c>
      <c r="C55" s="61">
        <v>1999</v>
      </c>
      <c r="D55" s="60" t="s">
        <v>647</v>
      </c>
      <c r="E55" s="60" t="s">
        <v>40</v>
      </c>
      <c r="F55" s="60" t="s">
        <v>666</v>
      </c>
      <c r="G55" s="60" t="s">
        <v>51</v>
      </c>
      <c r="H55" s="60" t="s">
        <v>39</v>
      </c>
      <c r="I55" s="70" t="s">
        <v>217</v>
      </c>
      <c r="J55" s="60" t="s">
        <v>40</v>
      </c>
      <c r="K55" s="60" t="s">
        <v>645</v>
      </c>
      <c r="L55" s="61" t="s">
        <v>39</v>
      </c>
      <c r="M55" s="61" t="s">
        <v>39</v>
      </c>
      <c r="N55" s="61" t="s">
        <v>39</v>
      </c>
      <c r="O55" s="61" t="s">
        <v>71</v>
      </c>
      <c r="P55" s="61" t="s">
        <v>648</v>
      </c>
      <c r="Q55" s="61" t="s">
        <v>51</v>
      </c>
      <c r="R55" s="61" t="s">
        <v>267</v>
      </c>
      <c r="S55" s="61">
        <v>1</v>
      </c>
      <c r="T55" s="61" t="s">
        <v>417</v>
      </c>
      <c r="U55" s="67" t="s">
        <v>872</v>
      </c>
      <c r="V55" s="73"/>
      <c r="W55" s="73">
        <f t="shared" si="2"/>
        <v>0.67700000000000005</v>
      </c>
      <c r="X55" s="73">
        <v>0.67669999999999997</v>
      </c>
      <c r="Y55" s="73" t="s">
        <v>1044</v>
      </c>
      <c r="Z55" s="73">
        <f t="shared" si="0"/>
        <v>0.67700000000000005</v>
      </c>
      <c r="AA55" s="73">
        <v>0.67669999999999997</v>
      </c>
      <c r="AB55" s="73">
        <f t="shared" si="1"/>
        <v>0.67700000000000005</v>
      </c>
      <c r="AC55" s="60">
        <f>2/3+0.01</f>
        <v>0.67666666666666664</v>
      </c>
      <c r="AD55" s="60" t="s">
        <v>643</v>
      </c>
      <c r="AE55" s="60" t="s">
        <v>1119</v>
      </c>
      <c r="AF55" s="60" t="s">
        <v>979</v>
      </c>
      <c r="AG55" s="60"/>
      <c r="AH55" s="73"/>
      <c r="AI55" s="73"/>
      <c r="AN55" s="73"/>
      <c r="AO55" s="73"/>
      <c r="AP55" s="73"/>
    </row>
    <row r="56" spans="1:42" s="61" customFormat="1" ht="154.94999999999999" customHeight="1">
      <c r="A56" s="58" t="s">
        <v>517</v>
      </c>
      <c r="B56" s="61">
        <v>0</v>
      </c>
      <c r="C56" s="61">
        <v>1968</v>
      </c>
      <c r="D56" s="60" t="s">
        <v>662</v>
      </c>
      <c r="E56" s="60" t="s">
        <v>40</v>
      </c>
      <c r="F56" s="60" t="s">
        <v>666</v>
      </c>
      <c r="G56" s="60" t="s">
        <v>51</v>
      </c>
      <c r="H56" s="60" t="s">
        <v>51</v>
      </c>
      <c r="I56" s="70" t="s">
        <v>663</v>
      </c>
      <c r="J56" s="60" t="s">
        <v>853</v>
      </c>
      <c r="K56" s="60" t="s">
        <v>40</v>
      </c>
      <c r="L56" s="61" t="s">
        <v>39</v>
      </c>
      <c r="M56" s="61" t="s">
        <v>39</v>
      </c>
      <c r="N56" s="61" t="s">
        <v>661</v>
      </c>
      <c r="O56" s="83" t="s">
        <v>345</v>
      </c>
      <c r="P56" s="61" t="s">
        <v>217</v>
      </c>
      <c r="Q56" s="61" t="s">
        <v>51</v>
      </c>
      <c r="R56" s="61" t="s">
        <v>217</v>
      </c>
      <c r="S56" s="61">
        <v>2</v>
      </c>
      <c r="T56" s="61" t="s">
        <v>348</v>
      </c>
      <c r="U56" s="68" t="s">
        <v>1085</v>
      </c>
      <c r="V56" s="73">
        <v>0.27600000000000002</v>
      </c>
      <c r="W56" s="73">
        <f t="shared" si="2"/>
        <v>0.871</v>
      </c>
      <c r="X56" s="73">
        <f>(2/3)+((2/3)*V56)+0.01+0.01</f>
        <v>0.8706666666666667</v>
      </c>
      <c r="Y56" s="73">
        <v>0.39</v>
      </c>
      <c r="Z56" s="73">
        <f t="shared" si="0"/>
        <v>0.94699999999999995</v>
      </c>
      <c r="AA56" s="73">
        <f>(2/3)+((2/3)*Y56)+0.01+0.01</f>
        <v>0.94666666666666666</v>
      </c>
      <c r="AB56" s="73">
        <f t="shared" si="1"/>
        <v>0.90900000000000003</v>
      </c>
      <c r="AC56" s="60">
        <f>1.5*2/3+0.02</f>
        <v>1.02</v>
      </c>
      <c r="AD56" s="60" t="s">
        <v>659</v>
      </c>
      <c r="AE56" s="60" t="s">
        <v>660</v>
      </c>
      <c r="AF56" s="60" t="s">
        <v>980</v>
      </c>
      <c r="AG56" s="60"/>
      <c r="AH56" s="73"/>
      <c r="AI56" s="73"/>
      <c r="AN56" s="73"/>
      <c r="AO56" s="73"/>
      <c r="AP56" s="73"/>
    </row>
    <row r="57" spans="1:42" s="61" customFormat="1" ht="103.95" customHeight="1">
      <c r="A57" s="58" t="s">
        <v>518</v>
      </c>
      <c r="B57" s="61">
        <v>0</v>
      </c>
      <c r="C57" s="61">
        <v>2011</v>
      </c>
      <c r="D57" s="60" t="s">
        <v>664</v>
      </c>
      <c r="E57" s="60" t="s">
        <v>40</v>
      </c>
      <c r="F57" s="60" t="s">
        <v>666</v>
      </c>
      <c r="G57" s="78" t="s">
        <v>51</v>
      </c>
      <c r="H57" s="60" t="s">
        <v>39</v>
      </c>
      <c r="I57" s="70" t="s">
        <v>267</v>
      </c>
      <c r="J57" s="60" t="s">
        <v>854</v>
      </c>
      <c r="K57" s="60" t="s">
        <v>665</v>
      </c>
      <c r="L57" s="61" t="s">
        <v>39</v>
      </c>
      <c r="M57" s="61" t="s">
        <v>39</v>
      </c>
      <c r="N57" s="61" t="s">
        <v>39</v>
      </c>
      <c r="O57" s="64" t="s">
        <v>345</v>
      </c>
      <c r="P57" s="61" t="s">
        <v>217</v>
      </c>
      <c r="Q57" s="61" t="s">
        <v>51</v>
      </c>
      <c r="R57" s="61" t="s">
        <v>267</v>
      </c>
      <c r="S57" s="61">
        <v>1</v>
      </c>
      <c r="T57" s="61" t="s">
        <v>417</v>
      </c>
      <c r="U57" s="65" t="s">
        <v>884</v>
      </c>
      <c r="V57" s="73"/>
      <c r="W57" s="73">
        <f t="shared" si="2"/>
        <v>0.67700000000000005</v>
      </c>
      <c r="X57" s="73">
        <v>0.67669999999999997</v>
      </c>
      <c r="Y57" s="73" t="s">
        <v>1044</v>
      </c>
      <c r="Z57" s="73">
        <f t="shared" si="0"/>
        <v>0.67700000000000005</v>
      </c>
      <c r="AA57" s="73">
        <v>0.67669999999999997</v>
      </c>
      <c r="AB57" s="73">
        <f t="shared" si="1"/>
        <v>0.67700000000000005</v>
      </c>
      <c r="AC57" s="60">
        <f>2/3+0.01</f>
        <v>0.67666666666666664</v>
      </c>
      <c r="AD57" s="60" t="s">
        <v>53</v>
      </c>
      <c r="AE57" s="60" t="s">
        <v>197</v>
      </c>
      <c r="AF57" s="60"/>
      <c r="AG57" s="60"/>
      <c r="AH57" s="73"/>
      <c r="AI57" s="73"/>
      <c r="AN57" s="73"/>
      <c r="AO57" s="73"/>
      <c r="AP57" s="73"/>
    </row>
    <row r="58" spans="1:42" s="61" customFormat="1" ht="52.95" customHeight="1">
      <c r="A58" s="58" t="s">
        <v>519</v>
      </c>
      <c r="B58" s="61">
        <v>1</v>
      </c>
      <c r="C58" s="61">
        <v>2007</v>
      </c>
      <c r="D58" s="60" t="s">
        <v>673</v>
      </c>
      <c r="E58" s="60" t="s">
        <v>40</v>
      </c>
      <c r="F58" s="60" t="s">
        <v>666</v>
      </c>
      <c r="G58" s="60" t="s">
        <v>320</v>
      </c>
      <c r="H58" s="60" t="s">
        <v>320</v>
      </c>
      <c r="I58" s="70" t="s">
        <v>217</v>
      </c>
      <c r="J58" s="60" t="s">
        <v>40</v>
      </c>
      <c r="K58" s="60" t="s">
        <v>40</v>
      </c>
      <c r="L58" s="61" t="s">
        <v>39</v>
      </c>
      <c r="M58" s="61" t="s">
        <v>39</v>
      </c>
      <c r="N58" s="61" t="s">
        <v>584</v>
      </c>
      <c r="O58" s="83" t="s">
        <v>345</v>
      </c>
      <c r="P58" s="61" t="s">
        <v>217</v>
      </c>
      <c r="Q58" s="61" t="s">
        <v>613</v>
      </c>
      <c r="R58" s="61" t="s">
        <v>217</v>
      </c>
      <c r="S58" s="61">
        <v>3</v>
      </c>
      <c r="T58" s="61" t="s">
        <v>674</v>
      </c>
      <c r="U58" s="68" t="s">
        <v>1086</v>
      </c>
      <c r="V58" s="73">
        <v>4.1000000000000002E-2</v>
      </c>
      <c r="W58" s="73">
        <f t="shared" si="2"/>
        <v>1.204</v>
      </c>
      <c r="X58" s="73">
        <f>(2/3)+((2/3)*V58)+0.5+0.01</f>
        <v>1.204</v>
      </c>
      <c r="Y58" s="73">
        <v>8.3000000000000004E-2</v>
      </c>
      <c r="Z58" s="73">
        <f t="shared" si="0"/>
        <v>1.232</v>
      </c>
      <c r="AA58" s="73">
        <f>(2/3)+((2/3)*Y58)+0.5+0.01</f>
        <v>1.232</v>
      </c>
      <c r="AB58" s="73">
        <f t="shared" si="1"/>
        <v>1.218</v>
      </c>
      <c r="AC58" s="60">
        <f>2/3*1.5+0.5+0.01</f>
        <v>1.51</v>
      </c>
      <c r="AD58" s="60">
        <v>135</v>
      </c>
      <c r="AE58" s="60" t="s">
        <v>69</v>
      </c>
      <c r="AF58" s="60"/>
      <c r="AG58" s="60"/>
      <c r="AH58" s="73"/>
      <c r="AI58" s="73"/>
      <c r="AN58" s="73"/>
      <c r="AO58" s="73"/>
      <c r="AP58" s="73"/>
    </row>
    <row r="59" spans="1:42" s="61" customFormat="1" ht="196.95" customHeight="1">
      <c r="A59" s="58" t="s">
        <v>520</v>
      </c>
      <c r="B59" s="61">
        <v>0</v>
      </c>
      <c r="C59" s="61">
        <v>2006</v>
      </c>
      <c r="D59" s="60" t="s">
        <v>680</v>
      </c>
      <c r="E59" s="60" t="s">
        <v>40</v>
      </c>
      <c r="F59" s="60" t="s">
        <v>678</v>
      </c>
      <c r="G59" s="60" t="s">
        <v>51</v>
      </c>
      <c r="H59" s="60" t="s">
        <v>39</v>
      </c>
      <c r="I59" s="70" t="s">
        <v>267</v>
      </c>
      <c r="J59" s="70" t="s">
        <v>849</v>
      </c>
      <c r="K59" s="60" t="s">
        <v>40</v>
      </c>
      <c r="L59" s="61" t="s">
        <v>39</v>
      </c>
      <c r="M59" s="61" t="s">
        <v>39</v>
      </c>
      <c r="N59" s="61" t="s">
        <v>39</v>
      </c>
      <c r="O59" s="64" t="s">
        <v>345</v>
      </c>
      <c r="P59" s="61" t="s">
        <v>217</v>
      </c>
      <c r="Q59" s="61" t="s">
        <v>51</v>
      </c>
      <c r="R59" s="61" t="s">
        <v>267</v>
      </c>
      <c r="S59" s="61">
        <v>1</v>
      </c>
      <c r="T59" s="61" t="s">
        <v>341</v>
      </c>
      <c r="U59" s="68" t="s">
        <v>970</v>
      </c>
      <c r="V59" s="73"/>
      <c r="W59" s="73">
        <f t="shared" si="2"/>
        <v>0.68700000000000006</v>
      </c>
      <c r="X59" s="73">
        <v>0.68669999999999998</v>
      </c>
      <c r="Y59" s="73" t="s">
        <v>1044</v>
      </c>
      <c r="Z59" s="73">
        <f t="shared" si="0"/>
        <v>0.68700000000000006</v>
      </c>
      <c r="AA59" s="73">
        <v>0.68669999999999998</v>
      </c>
      <c r="AB59" s="73">
        <f t="shared" si="1"/>
        <v>0.68700000000000006</v>
      </c>
      <c r="AC59" s="60">
        <f>2/3+0.02</f>
        <v>0.68666666666666665</v>
      </c>
      <c r="AD59" s="60" t="s">
        <v>677</v>
      </c>
      <c r="AE59" s="60" t="s">
        <v>676</v>
      </c>
      <c r="AF59" s="60"/>
      <c r="AG59" s="60"/>
    </row>
    <row r="60" spans="1:42" s="61" customFormat="1" ht="99" customHeight="1">
      <c r="A60" s="58" t="s">
        <v>521</v>
      </c>
      <c r="B60" s="61">
        <v>0</v>
      </c>
      <c r="C60" s="61">
        <v>2001</v>
      </c>
      <c r="D60" s="60" t="s">
        <v>685</v>
      </c>
      <c r="E60" s="60" t="s">
        <v>684</v>
      </c>
      <c r="F60" s="60" t="s">
        <v>682</v>
      </c>
      <c r="G60" s="60" t="s">
        <v>311</v>
      </c>
      <c r="H60" s="60" t="s">
        <v>39</v>
      </c>
      <c r="I60" s="70" t="s">
        <v>217</v>
      </c>
      <c r="J60" s="60" t="s">
        <v>40</v>
      </c>
      <c r="K60" s="60" t="s">
        <v>683</v>
      </c>
      <c r="L60" s="61" t="s">
        <v>39</v>
      </c>
      <c r="M60" s="61" t="s">
        <v>39</v>
      </c>
      <c r="N60" s="61" t="s">
        <v>39</v>
      </c>
      <c r="O60" s="64" t="s">
        <v>675</v>
      </c>
      <c r="P60" s="61" t="s">
        <v>217</v>
      </c>
      <c r="Q60" s="61" t="s">
        <v>311</v>
      </c>
      <c r="R60" s="61" t="s">
        <v>267</v>
      </c>
      <c r="S60" s="61">
        <v>1</v>
      </c>
      <c r="T60" s="61" t="s">
        <v>341</v>
      </c>
      <c r="U60" s="65" t="s">
        <v>887</v>
      </c>
      <c r="V60" s="73"/>
      <c r="W60" s="73">
        <f t="shared" si="2"/>
        <v>0.76</v>
      </c>
      <c r="X60" s="73">
        <v>0.76</v>
      </c>
      <c r="Y60" s="73" t="s">
        <v>1044</v>
      </c>
      <c r="Z60" s="73">
        <f t="shared" si="0"/>
        <v>0.76</v>
      </c>
      <c r="AA60" s="73">
        <v>0.76</v>
      </c>
      <c r="AB60" s="73">
        <f t="shared" si="1"/>
        <v>0.76</v>
      </c>
      <c r="AC60" s="60">
        <f>3/4+0.01</f>
        <v>0.76</v>
      </c>
      <c r="AD60" s="60" t="s">
        <v>196</v>
      </c>
      <c r="AE60" s="60" t="s">
        <v>263</v>
      </c>
      <c r="AF60" s="60"/>
      <c r="AG60" s="60"/>
      <c r="AH60" s="73"/>
      <c r="AI60" s="73"/>
      <c r="AN60" s="73"/>
      <c r="AO60" s="73"/>
      <c r="AP60" s="73"/>
    </row>
    <row r="61" spans="1:42" s="61" customFormat="1" ht="84" customHeight="1">
      <c r="A61" s="58" t="s">
        <v>522</v>
      </c>
      <c r="B61" s="61">
        <v>0</v>
      </c>
      <c r="C61" s="61" t="s">
        <v>238</v>
      </c>
      <c r="D61" s="60" t="s">
        <v>688</v>
      </c>
      <c r="E61" s="60" t="s">
        <v>687</v>
      </c>
      <c r="F61" s="60" t="s">
        <v>686</v>
      </c>
      <c r="G61" s="60" t="s">
        <v>51</v>
      </c>
      <c r="H61" s="60" t="s">
        <v>39</v>
      </c>
      <c r="I61" s="70" t="s">
        <v>217</v>
      </c>
      <c r="J61" s="60" t="s">
        <v>40</v>
      </c>
      <c r="K61" s="60" t="s">
        <v>689</v>
      </c>
      <c r="L61" s="61" t="s">
        <v>39</v>
      </c>
      <c r="M61" s="61" t="s">
        <v>39</v>
      </c>
      <c r="N61" s="61" t="s">
        <v>39</v>
      </c>
      <c r="O61" s="64" t="s">
        <v>345</v>
      </c>
      <c r="P61" s="61" t="s">
        <v>217</v>
      </c>
      <c r="Q61" s="61" t="s">
        <v>51</v>
      </c>
      <c r="R61" s="61" t="s">
        <v>267</v>
      </c>
      <c r="S61" s="61">
        <v>1</v>
      </c>
      <c r="T61" s="61" t="s">
        <v>341</v>
      </c>
      <c r="U61" s="68" t="s">
        <v>911</v>
      </c>
      <c r="V61" s="73"/>
      <c r="W61" s="73">
        <f t="shared" si="2"/>
        <v>0.69699999999999995</v>
      </c>
      <c r="X61" s="73">
        <v>0.69669999999999999</v>
      </c>
      <c r="Y61" s="73" t="s">
        <v>1044</v>
      </c>
      <c r="Z61" s="73">
        <f t="shared" si="0"/>
        <v>0.69699999999999995</v>
      </c>
      <c r="AA61" s="73">
        <v>0.69669999999999999</v>
      </c>
      <c r="AB61" s="73">
        <f t="shared" si="1"/>
        <v>0.69699999999999995</v>
      </c>
      <c r="AC61" s="60">
        <f>2/3+0.03</f>
        <v>0.69666666666666666</v>
      </c>
      <c r="AD61" s="60" t="s">
        <v>240</v>
      </c>
      <c r="AE61" s="60" t="s">
        <v>239</v>
      </c>
      <c r="AF61" s="60"/>
      <c r="AG61" s="60"/>
      <c r="AH61" s="73"/>
      <c r="AI61" s="73"/>
      <c r="AN61" s="73"/>
      <c r="AO61" s="73"/>
      <c r="AP61" s="73"/>
    </row>
    <row r="62" spans="1:42" s="61" customFormat="1" ht="109.05" customHeight="1">
      <c r="A62" s="58" t="s">
        <v>523</v>
      </c>
      <c r="B62" s="61">
        <v>0</v>
      </c>
      <c r="C62" s="61">
        <v>2010</v>
      </c>
      <c r="D62" s="60" t="s">
        <v>697</v>
      </c>
      <c r="E62" s="60" t="s">
        <v>40</v>
      </c>
      <c r="F62" s="60" t="s">
        <v>698</v>
      </c>
      <c r="G62" s="78" t="s">
        <v>51</v>
      </c>
      <c r="H62" s="60" t="s">
        <v>51</v>
      </c>
      <c r="I62" s="70" t="s">
        <v>217</v>
      </c>
      <c r="J62" s="60" t="s">
        <v>40</v>
      </c>
      <c r="K62" s="60" t="s">
        <v>699</v>
      </c>
      <c r="L62" s="61" t="s">
        <v>39</v>
      </c>
      <c r="M62" s="61" t="s">
        <v>39</v>
      </c>
      <c r="N62" s="61" t="s">
        <v>39</v>
      </c>
      <c r="O62" s="64" t="s">
        <v>345</v>
      </c>
      <c r="P62" s="61" t="s">
        <v>217</v>
      </c>
      <c r="Q62" s="64" t="s">
        <v>51</v>
      </c>
      <c r="R62" s="61" t="s">
        <v>217</v>
      </c>
      <c r="S62" s="61">
        <v>2</v>
      </c>
      <c r="T62" s="61" t="s">
        <v>348</v>
      </c>
      <c r="U62" s="68" t="s">
        <v>1087</v>
      </c>
      <c r="V62" s="73">
        <v>0.05</v>
      </c>
      <c r="W62" s="73">
        <f t="shared" si="2"/>
        <v>0.7</v>
      </c>
      <c r="X62" s="73">
        <f>(2/3)+((2/3)*V62)</f>
        <v>0.7</v>
      </c>
      <c r="Y62" s="73">
        <v>0.124</v>
      </c>
      <c r="Z62" s="73">
        <f t="shared" si="0"/>
        <v>0.749</v>
      </c>
      <c r="AA62" s="73">
        <f>(2/3)+((2/3)*Y62)</f>
        <v>0.7493333333333333</v>
      </c>
      <c r="AB62" s="73">
        <f t="shared" si="1"/>
        <v>0.72449999999999992</v>
      </c>
      <c r="AC62" s="60">
        <f>2/3*1.5</f>
        <v>1</v>
      </c>
      <c r="AD62" s="60" t="s">
        <v>172</v>
      </c>
      <c r="AE62" s="60" t="s">
        <v>173</v>
      </c>
      <c r="AF62" s="60"/>
      <c r="AG62" s="60"/>
      <c r="AH62" s="73"/>
      <c r="AI62" s="73"/>
      <c r="AN62" s="73"/>
      <c r="AO62" s="73"/>
      <c r="AP62" s="73"/>
    </row>
    <row r="63" spans="1:42" s="61" customFormat="1" ht="61.95" customHeight="1">
      <c r="A63" s="58" t="s">
        <v>524</v>
      </c>
      <c r="B63" s="61">
        <v>0</v>
      </c>
      <c r="C63" s="61">
        <v>2010</v>
      </c>
      <c r="D63" s="60" t="s">
        <v>732</v>
      </c>
      <c r="E63" s="60" t="s">
        <v>40</v>
      </c>
      <c r="F63" s="60" t="s">
        <v>666</v>
      </c>
      <c r="G63" s="60" t="s">
        <v>51</v>
      </c>
      <c r="H63" s="60" t="s">
        <v>39</v>
      </c>
      <c r="I63" s="70" t="s">
        <v>267</v>
      </c>
      <c r="J63" s="70" t="s">
        <v>849</v>
      </c>
      <c r="K63" s="60" t="s">
        <v>40</v>
      </c>
      <c r="L63" s="61" t="s">
        <v>39</v>
      </c>
      <c r="M63" s="61" t="s">
        <v>39</v>
      </c>
      <c r="N63" s="61" t="s">
        <v>39</v>
      </c>
      <c r="O63" s="64" t="s">
        <v>345</v>
      </c>
      <c r="P63" s="61" t="s">
        <v>217</v>
      </c>
      <c r="Q63" s="61" t="s">
        <v>51</v>
      </c>
      <c r="R63" s="61" t="s">
        <v>267</v>
      </c>
      <c r="S63" s="61">
        <v>1</v>
      </c>
      <c r="T63" s="61" t="s">
        <v>341</v>
      </c>
      <c r="U63" s="65" t="s">
        <v>872</v>
      </c>
      <c r="V63" s="73"/>
      <c r="W63" s="73">
        <f t="shared" si="2"/>
        <v>0.67700000000000005</v>
      </c>
      <c r="X63" s="73">
        <v>0.67669999999999997</v>
      </c>
      <c r="Y63" s="73" t="s">
        <v>1044</v>
      </c>
      <c r="Z63" s="73">
        <f t="shared" si="0"/>
        <v>0.67700000000000005</v>
      </c>
      <c r="AA63" s="73">
        <v>0.67669999999999997</v>
      </c>
      <c r="AB63" s="73">
        <f t="shared" si="1"/>
        <v>0.67700000000000005</v>
      </c>
      <c r="AC63" s="60">
        <f>2/3+0.01</f>
        <v>0.67666666666666664</v>
      </c>
      <c r="AD63" s="60">
        <v>148</v>
      </c>
      <c r="AE63" s="60" t="s">
        <v>167</v>
      </c>
      <c r="AF63" s="60"/>
      <c r="AG63" s="60"/>
      <c r="AH63" s="73"/>
      <c r="AI63" s="73"/>
      <c r="AN63" s="73"/>
      <c r="AO63" s="73"/>
      <c r="AP63" s="73"/>
    </row>
    <row r="64" spans="1:42" s="61" customFormat="1" ht="202.95" customHeight="1">
      <c r="A64" s="58" t="s">
        <v>525</v>
      </c>
      <c r="B64" s="61">
        <v>1</v>
      </c>
      <c r="C64" s="61">
        <v>2008</v>
      </c>
      <c r="D64" s="60" t="s">
        <v>737</v>
      </c>
      <c r="E64" s="60" t="s">
        <v>40</v>
      </c>
      <c r="F64" s="60" t="s">
        <v>1019</v>
      </c>
      <c r="G64" s="60" t="s">
        <v>71</v>
      </c>
      <c r="H64" s="60" t="s">
        <v>39</v>
      </c>
      <c r="I64" s="70" t="s">
        <v>267</v>
      </c>
      <c r="J64" s="60" t="s">
        <v>735</v>
      </c>
      <c r="K64" s="70" t="s">
        <v>40</v>
      </c>
      <c r="L64" s="81" t="s">
        <v>734</v>
      </c>
      <c r="M64" s="81" t="s">
        <v>734</v>
      </c>
      <c r="N64" s="81" t="s">
        <v>39</v>
      </c>
      <c r="O64" s="85" t="s">
        <v>345</v>
      </c>
      <c r="P64" s="81" t="s">
        <v>217</v>
      </c>
      <c r="Q64" s="61" t="s">
        <v>739</v>
      </c>
      <c r="R64" s="61" t="s">
        <v>217</v>
      </c>
      <c r="S64" s="61">
        <v>3</v>
      </c>
      <c r="T64" s="61" t="s">
        <v>740</v>
      </c>
      <c r="U64" s="53" t="s">
        <v>1088</v>
      </c>
      <c r="V64" s="73">
        <v>0.16600000000000001</v>
      </c>
      <c r="W64" s="73">
        <f t="shared" si="2"/>
        <v>0.78700000000000003</v>
      </c>
      <c r="X64" s="73">
        <f>(2/3)+((2/3)*V64)+0.01</f>
        <v>0.78733333333333333</v>
      </c>
      <c r="Y64" s="73">
        <v>0.21</v>
      </c>
      <c r="Z64" s="73">
        <f t="shared" si="0"/>
        <v>0.81699999999999995</v>
      </c>
      <c r="AA64" s="73">
        <f>(2/3)+((2/3)*Y64)+0.01</f>
        <v>0.81666666666666665</v>
      </c>
      <c r="AB64" s="73">
        <f t="shared" si="1"/>
        <v>0.80200000000000005</v>
      </c>
      <c r="AC64" s="60">
        <f>0.5+2/3*1.5+0.01</f>
        <v>1.51</v>
      </c>
      <c r="AD64" s="60" t="s">
        <v>49</v>
      </c>
      <c r="AE64" s="60" t="s">
        <v>231</v>
      </c>
      <c r="AF64" s="60" t="s">
        <v>1020</v>
      </c>
      <c r="AG64" s="60"/>
      <c r="AH64" s="73"/>
      <c r="AI64" s="73"/>
      <c r="AN64" s="73"/>
      <c r="AO64" s="73"/>
      <c r="AP64" s="73"/>
    </row>
    <row r="65" spans="1:42" s="61" customFormat="1" ht="61.95" customHeight="1">
      <c r="A65" s="58" t="s">
        <v>526</v>
      </c>
      <c r="B65" s="61">
        <v>1</v>
      </c>
      <c r="C65" s="61">
        <v>2013</v>
      </c>
      <c r="D65" s="60"/>
      <c r="E65" s="60"/>
      <c r="F65" s="60"/>
      <c r="G65" s="60"/>
      <c r="H65" s="60"/>
      <c r="I65" s="70"/>
      <c r="J65" s="60"/>
      <c r="K65" s="60"/>
      <c r="R65" s="61" t="s">
        <v>267</v>
      </c>
      <c r="S65" s="61">
        <v>1</v>
      </c>
      <c r="T65" s="61" t="s">
        <v>341</v>
      </c>
      <c r="U65" s="68" t="s">
        <v>71</v>
      </c>
      <c r="V65" s="73"/>
      <c r="W65" s="73">
        <f t="shared" si="2"/>
        <v>0.5</v>
      </c>
      <c r="X65" s="73">
        <v>0.5</v>
      </c>
      <c r="Y65" s="73"/>
      <c r="Z65" s="73">
        <f t="shared" si="0"/>
        <v>0.5</v>
      </c>
      <c r="AA65" s="73">
        <v>0.5</v>
      </c>
      <c r="AB65" s="73">
        <f t="shared" si="1"/>
        <v>0.5</v>
      </c>
      <c r="AC65" s="60">
        <v>0.5</v>
      </c>
      <c r="AD65" s="60" t="s">
        <v>742</v>
      </c>
      <c r="AE65" s="60" t="s">
        <v>741</v>
      </c>
      <c r="AF65" s="60" t="s">
        <v>981</v>
      </c>
      <c r="AG65" s="60"/>
      <c r="AH65" s="73"/>
      <c r="AI65" s="73"/>
      <c r="AN65" s="73"/>
      <c r="AO65" s="73"/>
      <c r="AP65" s="73"/>
    </row>
    <row r="66" spans="1:42" s="61" customFormat="1" ht="175.05" customHeight="1">
      <c r="A66" s="58" t="s">
        <v>527</v>
      </c>
      <c r="B66" s="61">
        <v>0</v>
      </c>
      <c r="C66" s="61">
        <v>2005</v>
      </c>
      <c r="D66" s="60" t="s">
        <v>747</v>
      </c>
      <c r="E66" s="60" t="s">
        <v>40</v>
      </c>
      <c r="F66" s="60" t="s">
        <v>744</v>
      </c>
      <c r="G66" s="60" t="s">
        <v>364</v>
      </c>
      <c r="H66" s="60" t="s">
        <v>39</v>
      </c>
      <c r="I66" s="70" t="s">
        <v>217</v>
      </c>
      <c r="J66" s="60" t="s">
        <v>745</v>
      </c>
      <c r="K66" s="60" t="s">
        <v>40</v>
      </c>
      <c r="L66" s="61" t="s">
        <v>39</v>
      </c>
      <c r="M66" s="61" t="s">
        <v>39</v>
      </c>
      <c r="N66" s="61" t="s">
        <v>39</v>
      </c>
      <c r="O66" s="61" t="s">
        <v>703</v>
      </c>
      <c r="P66" s="61" t="s">
        <v>267</v>
      </c>
      <c r="Q66" s="61" t="s">
        <v>364</v>
      </c>
      <c r="R66" s="61" t="s">
        <v>267</v>
      </c>
      <c r="S66" s="61">
        <v>1</v>
      </c>
      <c r="T66" s="61" t="s">
        <v>341</v>
      </c>
      <c r="U66" s="53" t="s">
        <v>999</v>
      </c>
      <c r="V66" s="73"/>
      <c r="W66" s="73">
        <f t="shared" si="2"/>
        <v>0.61</v>
      </c>
      <c r="X66" s="73">
        <v>0.61</v>
      </c>
      <c r="Y66" s="73" t="s">
        <v>1044</v>
      </c>
      <c r="Z66" s="73">
        <f t="shared" si="0"/>
        <v>0.61</v>
      </c>
      <c r="AA66" s="73">
        <v>0.61</v>
      </c>
      <c r="AB66" s="73">
        <f t="shared" si="1"/>
        <v>0.61</v>
      </c>
      <c r="AC66" s="60">
        <f>3/5+0.01</f>
        <v>0.61</v>
      </c>
      <c r="AD66" s="60" t="s">
        <v>152</v>
      </c>
      <c r="AE66" s="60" t="s">
        <v>743</v>
      </c>
      <c r="AF66" s="60" t="s">
        <v>1063</v>
      </c>
      <c r="AG66" s="60" t="s">
        <v>1064</v>
      </c>
      <c r="AH66" s="73"/>
      <c r="AI66" s="73"/>
      <c r="AN66" s="73"/>
      <c r="AO66" s="73"/>
      <c r="AP66" s="73"/>
    </row>
    <row r="67" spans="1:42" s="61" customFormat="1" ht="130.94999999999999" customHeight="1">
      <c r="A67" s="58" t="s">
        <v>528</v>
      </c>
      <c r="B67" s="61">
        <v>0</v>
      </c>
      <c r="C67" s="61">
        <v>2010</v>
      </c>
      <c r="D67" s="60" t="s">
        <v>751</v>
      </c>
      <c r="E67" s="60" t="s">
        <v>40</v>
      </c>
      <c r="F67" s="60" t="s">
        <v>748</v>
      </c>
      <c r="G67" s="60" t="s">
        <v>311</v>
      </c>
      <c r="H67" s="60" t="s">
        <v>39</v>
      </c>
      <c r="I67" s="70" t="s">
        <v>138</v>
      </c>
      <c r="J67" s="60" t="s">
        <v>40</v>
      </c>
      <c r="K67" s="60" t="s">
        <v>750</v>
      </c>
      <c r="L67" s="61" t="s">
        <v>39</v>
      </c>
      <c r="M67" s="61" t="s">
        <v>39</v>
      </c>
      <c r="N67" s="61" t="s">
        <v>39</v>
      </c>
      <c r="O67" s="61" t="s">
        <v>138</v>
      </c>
      <c r="P67" s="61" t="s">
        <v>599</v>
      </c>
      <c r="Q67" s="61" t="s">
        <v>311</v>
      </c>
      <c r="R67" s="81" t="s">
        <v>267</v>
      </c>
      <c r="S67" s="81">
        <v>2</v>
      </c>
      <c r="T67" s="61" t="s">
        <v>435</v>
      </c>
      <c r="U67" s="53" t="s">
        <v>749</v>
      </c>
      <c r="V67" s="73"/>
      <c r="W67" s="73">
        <f t="shared" si="2"/>
        <v>1.24</v>
      </c>
      <c r="X67" s="73">
        <v>1.24</v>
      </c>
      <c r="Y67" s="73" t="s">
        <v>1044</v>
      </c>
      <c r="Z67" s="73">
        <f t="shared" si="0"/>
        <v>1.24</v>
      </c>
      <c r="AA67" s="73">
        <v>1.24</v>
      </c>
      <c r="AB67" s="73">
        <f t="shared" si="1"/>
        <v>1.24</v>
      </c>
      <c r="AC67" s="60">
        <f>3/4+0.5-0.01</f>
        <v>1.24</v>
      </c>
      <c r="AD67" s="60" t="s">
        <v>162</v>
      </c>
      <c r="AE67" s="60" t="s">
        <v>163</v>
      </c>
      <c r="AF67" s="60"/>
      <c r="AG67" s="60"/>
      <c r="AH67" s="73"/>
      <c r="AI67" s="73"/>
      <c r="AN67" s="73"/>
      <c r="AO67" s="73"/>
      <c r="AP67" s="73"/>
    </row>
    <row r="68" spans="1:42" s="61" customFormat="1" ht="97.05" customHeight="1">
      <c r="A68" s="61" t="s">
        <v>529</v>
      </c>
      <c r="B68" s="61">
        <v>1</v>
      </c>
      <c r="C68" s="61">
        <v>2014</v>
      </c>
      <c r="D68" s="60" t="s">
        <v>753</v>
      </c>
      <c r="E68" s="60" t="s">
        <v>40</v>
      </c>
      <c r="F68" s="60" t="s">
        <v>700</v>
      </c>
      <c r="G68" s="60" t="s">
        <v>592</v>
      </c>
      <c r="H68" s="60" t="s">
        <v>39</v>
      </c>
      <c r="I68" s="70" t="s">
        <v>267</v>
      </c>
      <c r="J68" s="60" t="s">
        <v>752</v>
      </c>
      <c r="K68" s="60" t="s">
        <v>40</v>
      </c>
      <c r="L68" s="81" t="s">
        <v>51</v>
      </c>
      <c r="M68" s="61" t="s">
        <v>39</v>
      </c>
      <c r="N68" s="61" t="s">
        <v>39</v>
      </c>
      <c r="O68" s="64" t="s">
        <v>345</v>
      </c>
      <c r="P68" s="61" t="s">
        <v>217</v>
      </c>
      <c r="Q68" s="69" t="s">
        <v>51</v>
      </c>
      <c r="R68" s="61" t="s">
        <v>267</v>
      </c>
      <c r="S68" s="61">
        <v>1</v>
      </c>
      <c r="T68" s="61" t="s">
        <v>341</v>
      </c>
      <c r="U68" s="68" t="s">
        <v>952</v>
      </c>
      <c r="V68" s="73"/>
      <c r="W68" s="73">
        <f t="shared" ref="W68:W98" si="3">ROUND(X68,3)</f>
        <v>0.67700000000000005</v>
      </c>
      <c r="X68" s="73">
        <v>0.67669999999999997</v>
      </c>
      <c r="Y68" s="73" t="s">
        <v>1044</v>
      </c>
      <c r="Z68" s="73">
        <f t="shared" ref="Z68:Z98" si="4">ROUND(AA68,3)</f>
        <v>0.67700000000000005</v>
      </c>
      <c r="AA68" s="73">
        <v>0.67669999999999997</v>
      </c>
      <c r="AB68" s="73">
        <f t="shared" ref="AB68:AB98" si="5">AVERAGE(W68,Z68)</f>
        <v>0.67700000000000005</v>
      </c>
      <c r="AC68" s="60">
        <f>2/3+0.01</f>
        <v>0.67666666666666664</v>
      </c>
      <c r="AD68" s="60">
        <v>112</v>
      </c>
      <c r="AE68" s="60" t="s">
        <v>43</v>
      </c>
      <c r="AF68" s="60"/>
      <c r="AG68" s="60"/>
      <c r="AH68" s="73"/>
      <c r="AI68" s="73"/>
      <c r="AN68" s="73"/>
      <c r="AO68" s="73"/>
      <c r="AP68" s="73"/>
    </row>
    <row r="69" spans="1:42" s="61" customFormat="1" ht="85.05" customHeight="1">
      <c r="A69" s="61" t="s">
        <v>530</v>
      </c>
      <c r="B69" s="61">
        <v>0</v>
      </c>
      <c r="C69" s="61">
        <v>2012</v>
      </c>
      <c r="D69" s="60" t="s">
        <v>757</v>
      </c>
      <c r="E69" s="60" t="s">
        <v>40</v>
      </c>
      <c r="F69" s="60" t="s">
        <v>700</v>
      </c>
      <c r="G69" s="60" t="s">
        <v>51</v>
      </c>
      <c r="H69" s="60" t="s">
        <v>51</v>
      </c>
      <c r="I69" s="70" t="s">
        <v>756</v>
      </c>
      <c r="J69" s="60" t="s">
        <v>851</v>
      </c>
      <c r="K69" s="60" t="s">
        <v>40</v>
      </c>
      <c r="L69" s="61" t="s">
        <v>39</v>
      </c>
      <c r="M69" s="61" t="s">
        <v>39</v>
      </c>
      <c r="N69" s="61" t="s">
        <v>39</v>
      </c>
      <c r="O69" s="64" t="s">
        <v>345</v>
      </c>
      <c r="P69" s="61" t="s">
        <v>217</v>
      </c>
      <c r="Q69" s="61" t="s">
        <v>51</v>
      </c>
      <c r="R69" s="61" t="s">
        <v>217</v>
      </c>
      <c r="S69" s="61">
        <v>2</v>
      </c>
      <c r="T69" s="61" t="s">
        <v>348</v>
      </c>
      <c r="U69" s="53" t="s">
        <v>1125</v>
      </c>
      <c r="V69" s="73">
        <v>0.21199999999999999</v>
      </c>
      <c r="W69" s="73">
        <f t="shared" si="3"/>
        <v>0.747</v>
      </c>
      <c r="X69" s="73">
        <f>(2/3)+((1/3)*V69)+0.01</f>
        <v>0.74733333333333329</v>
      </c>
      <c r="Y69" s="73">
        <v>0.51300000000000001</v>
      </c>
      <c r="Z69" s="73">
        <f t="shared" si="4"/>
        <v>0.84799999999999998</v>
      </c>
      <c r="AA69" s="73">
        <f>(2/3)+((1/3)*Y69)+0.01</f>
        <v>0.84766666666666657</v>
      </c>
      <c r="AB69" s="73">
        <f t="shared" si="5"/>
        <v>0.79749999999999999</v>
      </c>
      <c r="AC69" s="60">
        <f>2/3*1.5+0.01</f>
        <v>1.01</v>
      </c>
      <c r="AD69" s="60" t="s">
        <v>755</v>
      </c>
      <c r="AE69" s="60" t="s">
        <v>754</v>
      </c>
      <c r="AF69" s="60"/>
      <c r="AG69" s="60"/>
      <c r="AH69" s="73"/>
      <c r="AI69" s="73"/>
      <c r="AN69" s="73"/>
      <c r="AO69" s="73"/>
      <c r="AP69" s="73"/>
    </row>
    <row r="70" spans="1:42" s="61" customFormat="1" ht="280.95" customHeight="1">
      <c r="A70" s="58" t="s">
        <v>531</v>
      </c>
      <c r="B70" s="61">
        <v>0</v>
      </c>
      <c r="C70" s="61">
        <v>2004</v>
      </c>
      <c r="D70" s="60" t="s">
        <v>762</v>
      </c>
      <c r="E70" s="60" t="s">
        <v>40</v>
      </c>
      <c r="F70" s="60" t="s">
        <v>758</v>
      </c>
      <c r="G70" s="60" t="s">
        <v>55</v>
      </c>
      <c r="H70" s="60" t="s">
        <v>39</v>
      </c>
      <c r="I70" s="70" t="s">
        <v>217</v>
      </c>
      <c r="J70" s="60" t="s">
        <v>40</v>
      </c>
      <c r="K70" s="60" t="s">
        <v>761</v>
      </c>
      <c r="L70" s="61" t="s">
        <v>39</v>
      </c>
      <c r="M70" s="61" t="s">
        <v>39</v>
      </c>
      <c r="N70" s="61" t="s">
        <v>39</v>
      </c>
      <c r="O70" s="61" t="s">
        <v>582</v>
      </c>
      <c r="P70" s="61" t="s">
        <v>217</v>
      </c>
      <c r="Q70" s="61" t="s">
        <v>581</v>
      </c>
      <c r="R70" s="61" t="s">
        <v>267</v>
      </c>
      <c r="S70" s="61">
        <v>2</v>
      </c>
      <c r="T70" s="61" t="s">
        <v>759</v>
      </c>
      <c r="U70" s="68" t="s">
        <v>961</v>
      </c>
      <c r="V70" s="73"/>
      <c r="W70" s="73">
        <v>1.01</v>
      </c>
      <c r="X70" s="73">
        <v>1.03</v>
      </c>
      <c r="Y70" s="73" t="s">
        <v>1044</v>
      </c>
      <c r="Z70" s="73">
        <v>1.01</v>
      </c>
      <c r="AA70" s="73">
        <v>1.03</v>
      </c>
      <c r="AB70" s="73">
        <f t="shared" si="5"/>
        <v>1.01</v>
      </c>
      <c r="AC70" s="60">
        <f>0.51+0.51 + 0.01</f>
        <v>1.03</v>
      </c>
      <c r="AD70" s="60" t="s">
        <v>205</v>
      </c>
      <c r="AE70" s="60" t="s">
        <v>206</v>
      </c>
      <c r="AF70" s="60" t="s">
        <v>982</v>
      </c>
      <c r="AG70" s="60"/>
      <c r="AH70" s="73"/>
      <c r="AI70" s="73"/>
      <c r="AN70" s="73"/>
      <c r="AO70" s="73"/>
      <c r="AP70" s="73"/>
    </row>
    <row r="71" spans="1:42" s="61" customFormat="1" ht="234" customHeight="1">
      <c r="A71" s="58" t="s">
        <v>532</v>
      </c>
      <c r="B71" s="61">
        <v>0</v>
      </c>
      <c r="C71" s="61">
        <v>2011</v>
      </c>
      <c r="D71" s="60" t="s">
        <v>769</v>
      </c>
      <c r="E71" s="60" t="s">
        <v>765</v>
      </c>
      <c r="F71" s="60" t="s">
        <v>763</v>
      </c>
      <c r="G71" s="60" t="s">
        <v>55</v>
      </c>
      <c r="H71" s="60" t="s">
        <v>55</v>
      </c>
      <c r="I71" s="70" t="s">
        <v>217</v>
      </c>
      <c r="J71" s="60" t="s">
        <v>40</v>
      </c>
      <c r="K71" s="60" t="s">
        <v>764</v>
      </c>
      <c r="L71" s="61" t="s">
        <v>39</v>
      </c>
      <c r="M71" s="61" t="s">
        <v>39</v>
      </c>
      <c r="N71" s="61" t="s">
        <v>39</v>
      </c>
      <c r="O71" s="61" t="s">
        <v>582</v>
      </c>
      <c r="P71" s="61" t="s">
        <v>217</v>
      </c>
      <c r="Q71" s="61" t="s">
        <v>55</v>
      </c>
      <c r="R71" s="61" t="s">
        <v>217</v>
      </c>
      <c r="S71" s="61">
        <v>3</v>
      </c>
      <c r="T71" s="61" t="s">
        <v>323</v>
      </c>
      <c r="U71" s="68" t="s">
        <v>1133</v>
      </c>
      <c r="V71" s="73">
        <v>9.5000000000000001E-2</v>
      </c>
      <c r="W71" s="73">
        <f t="shared" si="3"/>
        <v>1.0580000000000001</v>
      </c>
      <c r="X71" s="73">
        <f>0.5+(0.5*V71)+0.5+0.01</f>
        <v>1.0574999999999999</v>
      </c>
      <c r="Y71" s="73">
        <v>0.184</v>
      </c>
      <c r="Z71" s="73">
        <f t="shared" si="4"/>
        <v>1.1020000000000001</v>
      </c>
      <c r="AA71" s="73">
        <f>0.5+(0.5*Y71)+0.5+0.01</f>
        <v>1.1020000000000001</v>
      </c>
      <c r="AB71" s="73">
        <f t="shared" si="5"/>
        <v>1.08</v>
      </c>
      <c r="AC71" s="60">
        <f>0.51*1.5+0.5+0.01</f>
        <v>1.2750000000000001</v>
      </c>
      <c r="AD71" s="60" t="s">
        <v>215</v>
      </c>
      <c r="AE71" s="60" t="s">
        <v>216</v>
      </c>
      <c r="AF71" s="60"/>
      <c r="AG71" s="60"/>
      <c r="AH71" s="73"/>
      <c r="AI71" s="73"/>
      <c r="AN71" s="73"/>
      <c r="AO71" s="73"/>
      <c r="AP71" s="73"/>
    </row>
    <row r="72" spans="1:42" s="61" customFormat="1" ht="91.05" customHeight="1">
      <c r="A72" s="58" t="s">
        <v>533</v>
      </c>
      <c r="B72" s="61">
        <v>0</v>
      </c>
      <c r="C72" s="61">
        <v>2009</v>
      </c>
      <c r="D72" s="60" t="s">
        <v>774</v>
      </c>
      <c r="E72" s="60" t="s">
        <v>40</v>
      </c>
      <c r="F72" s="60" t="s">
        <v>771</v>
      </c>
      <c r="G72" s="60" t="s">
        <v>55</v>
      </c>
      <c r="H72" s="60" t="s">
        <v>39</v>
      </c>
      <c r="I72" s="70" t="s">
        <v>217</v>
      </c>
      <c r="J72" s="60" t="s">
        <v>772</v>
      </c>
      <c r="K72" s="60" t="s">
        <v>321</v>
      </c>
      <c r="L72" s="61" t="s">
        <v>39</v>
      </c>
      <c r="M72" s="61" t="s">
        <v>39</v>
      </c>
      <c r="N72" s="61" t="s">
        <v>39</v>
      </c>
      <c r="O72" s="61" t="s">
        <v>582</v>
      </c>
      <c r="P72" s="61" t="s">
        <v>217</v>
      </c>
      <c r="Q72" s="61" t="s">
        <v>55</v>
      </c>
      <c r="R72" s="61" t="s">
        <v>267</v>
      </c>
      <c r="S72" s="61">
        <v>2</v>
      </c>
      <c r="T72" s="61" t="s">
        <v>435</v>
      </c>
      <c r="U72" s="68" t="s">
        <v>773</v>
      </c>
      <c r="V72" s="73"/>
      <c r="W72" s="73">
        <v>0.99</v>
      </c>
      <c r="X72" s="73">
        <v>1</v>
      </c>
      <c r="Y72" s="73" t="s">
        <v>1044</v>
      </c>
      <c r="Z72" s="73">
        <v>0.99</v>
      </c>
      <c r="AA72" s="73">
        <v>1</v>
      </c>
      <c r="AB72" s="73">
        <f t="shared" si="5"/>
        <v>0.99</v>
      </c>
      <c r="AC72" s="60">
        <f>0.51+0.5-0.01</f>
        <v>1</v>
      </c>
      <c r="AD72" s="60" t="s">
        <v>204</v>
      </c>
      <c r="AE72" s="60" t="s">
        <v>770</v>
      </c>
      <c r="AF72" s="60"/>
      <c r="AG72" s="60"/>
      <c r="AH72" s="73"/>
      <c r="AI72" s="73"/>
      <c r="AN72" s="73"/>
      <c r="AO72" s="73"/>
      <c r="AP72" s="73"/>
    </row>
    <row r="73" spans="1:42" s="61" customFormat="1" ht="144" customHeight="1">
      <c r="A73" s="58" t="s">
        <v>534</v>
      </c>
      <c r="B73" s="61">
        <v>0</v>
      </c>
      <c r="C73" s="61">
        <v>1987</v>
      </c>
      <c r="D73" s="60" t="s">
        <v>777</v>
      </c>
      <c r="E73" s="60" t="s">
        <v>776</v>
      </c>
      <c r="F73" s="60" t="s">
        <v>775</v>
      </c>
      <c r="G73" s="60" t="s">
        <v>311</v>
      </c>
      <c r="H73" s="60" t="s">
        <v>311</v>
      </c>
      <c r="I73" s="70" t="s">
        <v>217</v>
      </c>
      <c r="J73" s="60" t="s">
        <v>40</v>
      </c>
      <c r="K73" s="60" t="s">
        <v>731</v>
      </c>
      <c r="L73" s="61" t="s">
        <v>39</v>
      </c>
      <c r="M73" s="61" t="s">
        <v>39</v>
      </c>
      <c r="N73" s="61" t="s">
        <v>778</v>
      </c>
      <c r="O73" s="61">
        <v>99</v>
      </c>
      <c r="P73" s="61" t="s">
        <v>267</v>
      </c>
      <c r="Q73" s="61" t="s">
        <v>311</v>
      </c>
      <c r="R73" s="61" t="s">
        <v>217</v>
      </c>
      <c r="S73" s="61">
        <v>3</v>
      </c>
      <c r="T73" s="61" t="s">
        <v>323</v>
      </c>
      <c r="U73" s="68" t="s">
        <v>1089</v>
      </c>
      <c r="V73" s="73">
        <v>0.14499999999999999</v>
      </c>
      <c r="W73" s="73">
        <f t="shared" si="3"/>
        <v>1.294</v>
      </c>
      <c r="X73" s="73">
        <f>0.75+((3/8)*V73)+0.5+0.01-0.01-0.01</f>
        <v>1.2943749999999998</v>
      </c>
      <c r="Y73" s="73">
        <v>0.41099999999999998</v>
      </c>
      <c r="Z73" s="73">
        <f t="shared" si="4"/>
        <v>1.3939999999999999</v>
      </c>
      <c r="AA73" s="73">
        <f>0.75+((3/8)*Y73)+0.5+0.01-0.01-0.01</f>
        <v>1.3941250000000001</v>
      </c>
      <c r="AB73" s="73">
        <f t="shared" si="5"/>
        <v>1.3439999999999999</v>
      </c>
      <c r="AC73" s="60">
        <f>3/4*1.5+0.5-0.01</f>
        <v>1.615</v>
      </c>
      <c r="AD73" s="60">
        <v>17</v>
      </c>
      <c r="AE73" s="60" t="s">
        <v>218</v>
      </c>
      <c r="AF73" s="60"/>
      <c r="AG73" s="60"/>
      <c r="AH73" s="73"/>
      <c r="AI73" s="73"/>
      <c r="AN73" s="73"/>
      <c r="AO73" s="73"/>
      <c r="AP73" s="73"/>
    </row>
    <row r="74" spans="1:42" s="61" customFormat="1" ht="157.94999999999999" customHeight="1">
      <c r="A74" s="58" t="s">
        <v>535</v>
      </c>
      <c r="B74" s="61">
        <v>1</v>
      </c>
      <c r="C74" s="61">
        <v>2009</v>
      </c>
      <c r="D74" s="60" t="s">
        <v>784</v>
      </c>
      <c r="E74" s="60" t="s">
        <v>40</v>
      </c>
      <c r="F74" s="60" t="s">
        <v>779</v>
      </c>
      <c r="G74" s="60" t="s">
        <v>780</v>
      </c>
      <c r="H74" s="60" t="s">
        <v>781</v>
      </c>
      <c r="I74" s="70" t="s">
        <v>217</v>
      </c>
      <c r="J74" s="60" t="s">
        <v>783</v>
      </c>
      <c r="K74" s="60" t="s">
        <v>782</v>
      </c>
      <c r="L74" s="61" t="s">
        <v>39</v>
      </c>
      <c r="M74" s="61" t="s">
        <v>39</v>
      </c>
      <c r="N74" s="61" t="s">
        <v>39</v>
      </c>
      <c r="O74" s="64" t="s">
        <v>345</v>
      </c>
      <c r="P74" s="61" t="s">
        <v>217</v>
      </c>
      <c r="Q74" s="61" t="s">
        <v>785</v>
      </c>
      <c r="R74" s="61" t="s">
        <v>217</v>
      </c>
      <c r="S74" s="61">
        <v>2</v>
      </c>
      <c r="T74" s="61" t="s">
        <v>348</v>
      </c>
      <c r="U74" s="68" t="s">
        <v>1090</v>
      </c>
      <c r="V74" s="73">
        <v>0.14099999999999999</v>
      </c>
      <c r="W74" s="73">
        <f t="shared" si="3"/>
        <v>0.78100000000000003</v>
      </c>
      <c r="X74" s="73">
        <f>(2/3)+((2/3)*V74)+0.01+0.01</f>
        <v>0.78066666666666662</v>
      </c>
      <c r="Y74" s="73">
        <v>0.21199999999999999</v>
      </c>
      <c r="Z74" s="73">
        <f t="shared" si="4"/>
        <v>0.82799999999999996</v>
      </c>
      <c r="AA74" s="73">
        <f>(2/3)+((2/3)*Y74)+0.01+0.01</f>
        <v>0.82799999999999996</v>
      </c>
      <c r="AB74" s="73">
        <f t="shared" si="5"/>
        <v>0.80449999999999999</v>
      </c>
      <c r="AC74" s="60">
        <f>2/3+0.51*0.5+0.02</f>
        <v>0.94166666666666665</v>
      </c>
      <c r="AD74" s="60">
        <v>235</v>
      </c>
      <c r="AE74" s="60" t="s">
        <v>68</v>
      </c>
      <c r="AF74" s="60"/>
      <c r="AG74" s="60"/>
      <c r="AH74" s="73"/>
      <c r="AI74" s="73"/>
      <c r="AN74" s="73"/>
      <c r="AO74" s="73"/>
      <c r="AP74" s="73"/>
    </row>
    <row r="75" spans="1:42" s="61" customFormat="1" ht="117" customHeight="1">
      <c r="A75" s="58" t="s">
        <v>536</v>
      </c>
      <c r="B75" s="61">
        <v>1</v>
      </c>
      <c r="C75" s="61">
        <v>2005</v>
      </c>
      <c r="D75" s="60" t="s">
        <v>791</v>
      </c>
      <c r="E75" s="60" t="s">
        <v>788</v>
      </c>
      <c r="F75" s="60" t="s">
        <v>789</v>
      </c>
      <c r="G75" s="60" t="s">
        <v>51</v>
      </c>
      <c r="H75" s="60" t="s">
        <v>39</v>
      </c>
      <c r="I75" s="70" t="s">
        <v>217</v>
      </c>
      <c r="J75" s="60" t="s">
        <v>790</v>
      </c>
      <c r="K75" s="60" t="s">
        <v>40</v>
      </c>
      <c r="L75" s="61" t="s">
        <v>39</v>
      </c>
      <c r="M75" s="61" t="s">
        <v>39</v>
      </c>
      <c r="N75" s="61" t="s">
        <v>39</v>
      </c>
      <c r="O75" s="64" t="s">
        <v>345</v>
      </c>
      <c r="P75" s="61" t="s">
        <v>217</v>
      </c>
      <c r="Q75" s="61" t="s">
        <v>51</v>
      </c>
      <c r="R75" s="61" t="s">
        <v>267</v>
      </c>
      <c r="S75" s="61">
        <v>1</v>
      </c>
      <c r="T75" s="61" t="s">
        <v>341</v>
      </c>
      <c r="U75" s="65" t="s">
        <v>884</v>
      </c>
      <c r="V75" s="73"/>
      <c r="W75" s="73">
        <f t="shared" si="3"/>
        <v>0.67700000000000005</v>
      </c>
      <c r="X75" s="73">
        <v>0.67669999999999997</v>
      </c>
      <c r="Y75" s="73" t="s">
        <v>1044</v>
      </c>
      <c r="Z75" s="73">
        <f t="shared" si="4"/>
        <v>0.67700000000000005</v>
      </c>
      <c r="AA75" s="73">
        <v>0.67669999999999997</v>
      </c>
      <c r="AB75" s="73">
        <f t="shared" si="5"/>
        <v>0.67700000000000005</v>
      </c>
      <c r="AC75" s="60">
        <f>2/3 +0.01</f>
        <v>0.67666666666666664</v>
      </c>
      <c r="AD75" s="60" t="s">
        <v>50</v>
      </c>
      <c r="AE75" s="60" t="s">
        <v>787</v>
      </c>
      <c r="AF75" s="60"/>
      <c r="AG75" s="60"/>
      <c r="AH75" s="73"/>
      <c r="AI75" s="73"/>
      <c r="AN75" s="73"/>
      <c r="AO75" s="73"/>
      <c r="AP75" s="73"/>
    </row>
    <row r="76" spans="1:42" s="61" customFormat="1" ht="190.05" customHeight="1">
      <c r="A76" s="58" t="s">
        <v>537</v>
      </c>
      <c r="B76" s="61">
        <v>0</v>
      </c>
      <c r="C76" s="61">
        <v>2003</v>
      </c>
      <c r="D76" s="60" t="s">
        <v>794</v>
      </c>
      <c r="E76" s="60" t="s">
        <v>40</v>
      </c>
      <c r="F76" s="60" t="s">
        <v>792</v>
      </c>
      <c r="G76" s="60" t="s">
        <v>51</v>
      </c>
      <c r="H76" s="60" t="s">
        <v>51</v>
      </c>
      <c r="I76" s="70" t="s">
        <v>217</v>
      </c>
      <c r="J76" s="60" t="s">
        <v>40</v>
      </c>
      <c r="K76" s="60" t="s">
        <v>793</v>
      </c>
      <c r="L76" s="61" t="s">
        <v>39</v>
      </c>
      <c r="M76" s="61" t="s">
        <v>39</v>
      </c>
      <c r="N76" s="61" t="s">
        <v>39</v>
      </c>
      <c r="O76" s="64" t="s">
        <v>345</v>
      </c>
      <c r="P76" s="61" t="s">
        <v>217</v>
      </c>
      <c r="Q76" s="61" t="s">
        <v>51</v>
      </c>
      <c r="R76" s="61" t="s">
        <v>217</v>
      </c>
      <c r="S76" s="61">
        <v>3</v>
      </c>
      <c r="T76" s="61" t="s">
        <v>323</v>
      </c>
      <c r="U76" s="68" t="s">
        <v>1091</v>
      </c>
      <c r="V76" s="73">
        <v>5.0999999999999997E-2</v>
      </c>
      <c r="W76" s="73">
        <f t="shared" si="3"/>
        <v>1.2010000000000001</v>
      </c>
      <c r="X76" s="73">
        <f>(2/3)+((2/3)*V76)+0.5-0.01+0.01</f>
        <v>1.2006666666666668</v>
      </c>
      <c r="Y76" s="73">
        <v>0.124</v>
      </c>
      <c r="Z76" s="73">
        <f t="shared" si="4"/>
        <v>1.2490000000000001</v>
      </c>
      <c r="AA76" s="73">
        <f>(2/3)+((2/3)*Y76)+0.5+0.01-0.01</f>
        <v>1.2493333333333334</v>
      </c>
      <c r="AB76" s="73">
        <f t="shared" si="5"/>
        <v>1.2250000000000001</v>
      </c>
      <c r="AC76" s="60">
        <f>2/3*1.5+0.5+0</f>
        <v>1.5</v>
      </c>
      <c r="AD76" s="60" t="s">
        <v>148</v>
      </c>
      <c r="AE76" s="60" t="s">
        <v>149</v>
      </c>
      <c r="AF76" s="60"/>
      <c r="AG76" s="60"/>
      <c r="AH76" s="73"/>
      <c r="AI76" s="73"/>
      <c r="AN76" s="73"/>
      <c r="AO76" s="73"/>
      <c r="AP76" s="73"/>
    </row>
    <row r="77" spans="1:42" s="61" customFormat="1" ht="169.95" customHeight="1">
      <c r="A77" s="58" t="s">
        <v>538</v>
      </c>
      <c r="B77" s="61">
        <v>0</v>
      </c>
      <c r="C77" s="61">
        <v>2009</v>
      </c>
      <c r="D77" s="60" t="s">
        <v>953</v>
      </c>
      <c r="E77" s="60" t="s">
        <v>40</v>
      </c>
      <c r="F77" s="60" t="s">
        <v>795</v>
      </c>
      <c r="G77" s="60" t="s">
        <v>71</v>
      </c>
      <c r="H77" s="60" t="s">
        <v>71</v>
      </c>
      <c r="I77" s="70" t="s">
        <v>217</v>
      </c>
      <c r="J77" s="60" t="s">
        <v>604</v>
      </c>
      <c r="K77" s="60" t="s">
        <v>796</v>
      </c>
      <c r="L77" s="61" t="s">
        <v>39</v>
      </c>
      <c r="M77" s="61" t="s">
        <v>39</v>
      </c>
      <c r="N77" s="61" t="s">
        <v>39</v>
      </c>
      <c r="O77" s="64" t="s">
        <v>436</v>
      </c>
      <c r="P77" s="61" t="s">
        <v>267</v>
      </c>
      <c r="Q77" s="61" t="s">
        <v>797</v>
      </c>
      <c r="R77" s="61" t="s">
        <v>271</v>
      </c>
      <c r="S77" s="61">
        <v>3</v>
      </c>
      <c r="T77" s="61" t="s">
        <v>323</v>
      </c>
      <c r="U77" s="68" t="s">
        <v>1099</v>
      </c>
      <c r="V77" s="73"/>
      <c r="W77" s="73">
        <f t="shared" si="3"/>
        <v>1</v>
      </c>
      <c r="X77" s="73">
        <v>1</v>
      </c>
      <c r="Y77" s="73" t="s">
        <v>1044</v>
      </c>
      <c r="Z77" s="73">
        <f t="shared" si="4"/>
        <v>1</v>
      </c>
      <c r="AA77" s="73">
        <v>1</v>
      </c>
      <c r="AB77" s="73">
        <f t="shared" si="5"/>
        <v>1</v>
      </c>
      <c r="AC77" s="60">
        <f>0.5+0.5 -0.01+0.01</f>
        <v>1</v>
      </c>
      <c r="AD77" s="60" t="s">
        <v>209</v>
      </c>
      <c r="AE77" s="60" t="s">
        <v>210</v>
      </c>
      <c r="AF77" s="60" t="s">
        <v>1065</v>
      </c>
      <c r="AG77" s="60" t="s">
        <v>250</v>
      </c>
    </row>
    <row r="78" spans="1:42" s="61" customFormat="1" ht="138" customHeight="1">
      <c r="A78" s="58" t="s">
        <v>539</v>
      </c>
      <c r="B78" s="61">
        <v>0</v>
      </c>
      <c r="C78" s="61">
        <v>2008</v>
      </c>
      <c r="D78" s="60" t="s">
        <v>799</v>
      </c>
      <c r="E78" s="60"/>
      <c r="F78" s="60" t="s">
        <v>700</v>
      </c>
      <c r="G78" s="60" t="s">
        <v>51</v>
      </c>
      <c r="H78" s="60" t="s">
        <v>39</v>
      </c>
      <c r="I78" s="70" t="s">
        <v>217</v>
      </c>
      <c r="J78" s="60" t="s">
        <v>1021</v>
      </c>
      <c r="K78" s="60" t="s">
        <v>801</v>
      </c>
      <c r="L78" s="61" t="s">
        <v>39</v>
      </c>
      <c r="M78" s="61" t="s">
        <v>39</v>
      </c>
      <c r="N78" s="61" t="s">
        <v>39</v>
      </c>
      <c r="O78" s="64" t="s">
        <v>345</v>
      </c>
      <c r="P78" s="61" t="s">
        <v>217</v>
      </c>
      <c r="Q78" s="61" t="s">
        <v>51</v>
      </c>
      <c r="R78" s="61" t="s">
        <v>267</v>
      </c>
      <c r="S78" s="61">
        <v>1</v>
      </c>
      <c r="T78" s="61" t="s">
        <v>341</v>
      </c>
      <c r="U78" s="68" t="s">
        <v>892</v>
      </c>
      <c r="V78" s="73"/>
      <c r="W78" s="73">
        <f t="shared" si="3"/>
        <v>0.69699999999999995</v>
      </c>
      <c r="X78" s="73">
        <v>0.69669999999999999</v>
      </c>
      <c r="Y78" s="73" t="s">
        <v>1044</v>
      </c>
      <c r="Z78" s="73">
        <f t="shared" si="4"/>
        <v>0.69699999999999995</v>
      </c>
      <c r="AA78" s="73">
        <v>0.69669999999999999</v>
      </c>
      <c r="AB78" s="73">
        <f t="shared" si="5"/>
        <v>0.69699999999999995</v>
      </c>
      <c r="AC78" s="60">
        <f>2/3+0.03</f>
        <v>0.69666666666666666</v>
      </c>
      <c r="AD78" s="60">
        <v>108</v>
      </c>
      <c r="AE78" s="60" t="s">
        <v>180</v>
      </c>
      <c r="AF78" s="60"/>
      <c r="AG78" s="60"/>
      <c r="AH78" s="73"/>
      <c r="AI78" s="73"/>
      <c r="AN78" s="73"/>
      <c r="AO78" s="73"/>
      <c r="AP78" s="73"/>
    </row>
    <row r="79" spans="1:42" s="61" customFormat="1" ht="58.05" customHeight="1">
      <c r="A79" s="58" t="s">
        <v>540</v>
      </c>
      <c r="B79" s="61">
        <v>1</v>
      </c>
      <c r="C79" s="61">
        <v>2001</v>
      </c>
      <c r="D79" s="60" t="s">
        <v>803</v>
      </c>
      <c r="E79" s="60" t="s">
        <v>40</v>
      </c>
      <c r="F79" s="60" t="s">
        <v>666</v>
      </c>
      <c r="G79" s="78" t="s">
        <v>364</v>
      </c>
      <c r="H79" s="60" t="s">
        <v>39</v>
      </c>
      <c r="I79" s="70" t="s">
        <v>217</v>
      </c>
      <c r="J79" s="60" t="s">
        <v>40</v>
      </c>
      <c r="K79" s="60" t="s">
        <v>40</v>
      </c>
      <c r="L79" s="61" t="s">
        <v>39</v>
      </c>
      <c r="M79" s="61" t="s">
        <v>39</v>
      </c>
      <c r="N79" s="61" t="s">
        <v>39</v>
      </c>
      <c r="O79" s="61" t="s">
        <v>138</v>
      </c>
      <c r="P79" s="61" t="s">
        <v>599</v>
      </c>
      <c r="Q79" s="61" t="s">
        <v>364</v>
      </c>
      <c r="R79" s="61" t="s">
        <v>267</v>
      </c>
      <c r="S79" s="61">
        <v>1</v>
      </c>
      <c r="T79" s="61" t="s">
        <v>341</v>
      </c>
      <c r="U79" s="67" t="s">
        <v>893</v>
      </c>
      <c r="V79" s="73"/>
      <c r="W79" s="73">
        <f t="shared" si="3"/>
        <v>0.61</v>
      </c>
      <c r="X79" s="73">
        <v>0.61</v>
      </c>
      <c r="Y79" s="73" t="s">
        <v>1044</v>
      </c>
      <c r="Z79" s="73">
        <f t="shared" si="4"/>
        <v>0.61</v>
      </c>
      <c r="AA79" s="73">
        <v>0.61</v>
      </c>
      <c r="AB79" s="73">
        <f t="shared" si="5"/>
        <v>0.61</v>
      </c>
      <c r="AC79" s="60">
        <f>3/5 +0.01</f>
        <v>0.61</v>
      </c>
      <c r="AD79" s="60" t="s">
        <v>66</v>
      </c>
      <c r="AE79" s="60" t="s">
        <v>67</v>
      </c>
      <c r="AF79" s="60"/>
      <c r="AG79" s="60"/>
      <c r="AH79" s="73"/>
      <c r="AI79" s="73"/>
      <c r="AN79" s="73"/>
      <c r="AO79" s="73"/>
      <c r="AP79" s="73"/>
    </row>
    <row r="80" spans="1:42" s="61" customFormat="1" ht="105" customHeight="1">
      <c r="A80" s="58" t="s">
        <v>541</v>
      </c>
      <c r="B80" s="61">
        <v>1</v>
      </c>
      <c r="C80" s="61">
        <v>2013</v>
      </c>
      <c r="D80" s="60" t="s">
        <v>806</v>
      </c>
      <c r="E80" s="60" t="s">
        <v>40</v>
      </c>
      <c r="F80" s="60" t="s">
        <v>804</v>
      </c>
      <c r="G80" s="60" t="s">
        <v>51</v>
      </c>
      <c r="H80" s="60" t="s">
        <v>39</v>
      </c>
      <c r="I80" s="70" t="s">
        <v>217</v>
      </c>
      <c r="J80" s="60" t="s">
        <v>40</v>
      </c>
      <c r="K80" s="60" t="s">
        <v>805</v>
      </c>
      <c r="L80" s="61" t="s">
        <v>39</v>
      </c>
      <c r="M80" s="61" t="s">
        <v>39</v>
      </c>
      <c r="N80" s="61" t="s">
        <v>39</v>
      </c>
      <c r="O80" s="64" t="s">
        <v>345</v>
      </c>
      <c r="P80" s="61" t="s">
        <v>217</v>
      </c>
      <c r="Q80" s="61" t="s">
        <v>51</v>
      </c>
      <c r="R80" s="61" t="s">
        <v>267</v>
      </c>
      <c r="S80" s="61">
        <v>1</v>
      </c>
      <c r="T80" s="61" t="s">
        <v>341</v>
      </c>
      <c r="U80" s="65" t="s">
        <v>894</v>
      </c>
      <c r="V80" s="73"/>
      <c r="W80" s="73">
        <f t="shared" si="3"/>
        <v>0.68700000000000006</v>
      </c>
      <c r="X80" s="73">
        <v>0.68669999999999998</v>
      </c>
      <c r="Y80" s="73" t="s">
        <v>1044</v>
      </c>
      <c r="Z80" s="73">
        <f t="shared" si="4"/>
        <v>0.68700000000000006</v>
      </c>
      <c r="AA80" s="73">
        <v>0.68669999999999998</v>
      </c>
      <c r="AB80" s="73">
        <f t="shared" si="5"/>
        <v>0.68700000000000006</v>
      </c>
      <c r="AC80" s="60">
        <f>2/3+0.02</f>
        <v>0.68666666666666665</v>
      </c>
      <c r="AD80" s="60" t="s">
        <v>64</v>
      </c>
      <c r="AE80" s="60" t="s">
        <v>65</v>
      </c>
      <c r="AF80" s="60" t="s">
        <v>992</v>
      </c>
      <c r="AG80" s="60"/>
      <c r="AH80" s="73"/>
      <c r="AI80" s="73"/>
      <c r="AN80" s="73"/>
      <c r="AO80" s="73"/>
      <c r="AP80" s="73"/>
    </row>
    <row r="81" spans="1:42" s="61" customFormat="1" ht="61.95" customHeight="1">
      <c r="A81" s="58" t="s">
        <v>542</v>
      </c>
      <c r="B81" s="61">
        <v>0</v>
      </c>
      <c r="C81" s="61">
        <v>2009</v>
      </c>
      <c r="D81" s="60" t="s">
        <v>807</v>
      </c>
      <c r="E81" s="60" t="s">
        <v>40</v>
      </c>
      <c r="F81" s="60" t="s">
        <v>700</v>
      </c>
      <c r="G81" s="60" t="s">
        <v>51</v>
      </c>
      <c r="H81" s="60" t="s">
        <v>39</v>
      </c>
      <c r="I81" s="70" t="s">
        <v>267</v>
      </c>
      <c r="J81" s="70" t="s">
        <v>849</v>
      </c>
      <c r="K81" s="60" t="s">
        <v>40</v>
      </c>
      <c r="L81" s="61" t="s">
        <v>39</v>
      </c>
      <c r="M81" s="61" t="s">
        <v>39</v>
      </c>
      <c r="N81" s="61" t="s">
        <v>39</v>
      </c>
      <c r="O81" s="64" t="s">
        <v>345</v>
      </c>
      <c r="P81" s="61" t="s">
        <v>217</v>
      </c>
      <c r="Q81" s="61" t="s">
        <v>51</v>
      </c>
      <c r="R81" s="61" t="s">
        <v>267</v>
      </c>
      <c r="S81" s="61">
        <v>1</v>
      </c>
      <c r="T81" s="61" t="s">
        <v>341</v>
      </c>
      <c r="U81" s="68" t="s">
        <v>895</v>
      </c>
      <c r="V81" s="73"/>
      <c r="W81" s="73">
        <f t="shared" si="3"/>
        <v>0.69699999999999995</v>
      </c>
      <c r="X81" s="73">
        <v>0.69669999999999999</v>
      </c>
      <c r="Y81" s="73" t="s">
        <v>1044</v>
      </c>
      <c r="Z81" s="73">
        <f t="shared" si="4"/>
        <v>0.69699999999999995</v>
      </c>
      <c r="AA81" s="73">
        <v>0.69669999999999999</v>
      </c>
      <c r="AB81" s="73">
        <f t="shared" si="5"/>
        <v>0.69699999999999995</v>
      </c>
      <c r="AC81" s="60">
        <f>2/3 +0.03</f>
        <v>0.69666666666666666</v>
      </c>
      <c r="AD81" s="60">
        <v>61</v>
      </c>
      <c r="AE81" s="60" t="s">
        <v>207</v>
      </c>
      <c r="AF81" s="60"/>
      <c r="AG81" s="60"/>
      <c r="AH81" s="73"/>
      <c r="AI81" s="73"/>
      <c r="AN81" s="73"/>
      <c r="AO81" s="73"/>
      <c r="AP81" s="73"/>
    </row>
    <row r="82" spans="1:42" s="61" customFormat="1" ht="397.95" customHeight="1">
      <c r="A82" s="58" t="s">
        <v>543</v>
      </c>
      <c r="B82" s="61">
        <v>0</v>
      </c>
      <c r="C82" s="61">
        <v>2012</v>
      </c>
      <c r="D82" s="60" t="s">
        <v>809</v>
      </c>
      <c r="E82" s="60" t="s">
        <v>40</v>
      </c>
      <c r="F82" s="60" t="s">
        <v>700</v>
      </c>
      <c r="G82" s="60" t="s">
        <v>51</v>
      </c>
      <c r="H82" s="60" t="s">
        <v>39</v>
      </c>
      <c r="I82" s="70" t="s">
        <v>267</v>
      </c>
      <c r="J82" s="60" t="s">
        <v>851</v>
      </c>
      <c r="K82" s="60" t="s">
        <v>40</v>
      </c>
      <c r="L82" s="61" t="s">
        <v>39</v>
      </c>
      <c r="M82" s="61" t="s">
        <v>39</v>
      </c>
      <c r="N82" s="61" t="s">
        <v>808</v>
      </c>
      <c r="O82" s="61">
        <v>96</v>
      </c>
      <c r="P82" s="61" t="s">
        <v>217</v>
      </c>
      <c r="Q82" s="61" t="s">
        <v>51</v>
      </c>
      <c r="R82" s="61" t="s">
        <v>217</v>
      </c>
      <c r="S82" s="61">
        <v>1</v>
      </c>
      <c r="T82" s="61" t="s">
        <v>341</v>
      </c>
      <c r="U82" s="68" t="s">
        <v>896</v>
      </c>
      <c r="V82" s="73">
        <v>2.5999999999999999E-2</v>
      </c>
      <c r="W82" s="73">
        <f t="shared" si="3"/>
        <v>0.71699999999999997</v>
      </c>
      <c r="X82" s="60">
        <f>2/3+0.05</f>
        <v>0.71666666666666667</v>
      </c>
      <c r="Y82" s="73">
        <v>4.8000000000000001E-2</v>
      </c>
      <c r="Z82" s="73">
        <f t="shared" si="4"/>
        <v>0.71699999999999997</v>
      </c>
      <c r="AA82" s="60">
        <f>2/3+0.05</f>
        <v>0.71666666666666667</v>
      </c>
      <c r="AB82" s="73">
        <f t="shared" si="5"/>
        <v>0.71699999999999997</v>
      </c>
      <c r="AC82" s="60">
        <f>2/3+0.05</f>
        <v>0.71666666666666667</v>
      </c>
      <c r="AD82" s="60">
        <v>74</v>
      </c>
      <c r="AE82" s="60" t="s">
        <v>146</v>
      </c>
      <c r="AF82" s="60"/>
      <c r="AG82" s="60"/>
      <c r="AH82" s="73"/>
      <c r="AI82" s="73"/>
      <c r="AN82" s="73"/>
      <c r="AO82" s="73"/>
      <c r="AP82" s="73"/>
    </row>
    <row r="83" spans="1:42" s="61" customFormat="1" ht="235.05" customHeight="1">
      <c r="A83" s="58" t="s">
        <v>544</v>
      </c>
      <c r="B83" s="61">
        <v>1</v>
      </c>
      <c r="C83" s="61">
        <v>2011</v>
      </c>
      <c r="D83" s="60" t="s">
        <v>815</v>
      </c>
      <c r="E83" s="60" t="s">
        <v>40</v>
      </c>
      <c r="F83" s="60" t="s">
        <v>813</v>
      </c>
      <c r="G83" s="60" t="s">
        <v>364</v>
      </c>
      <c r="H83" s="60" t="s">
        <v>364</v>
      </c>
      <c r="I83" s="70" t="s">
        <v>267</v>
      </c>
      <c r="J83" s="60" t="s">
        <v>40</v>
      </c>
      <c r="K83" s="60" t="s">
        <v>814</v>
      </c>
      <c r="L83" s="61" t="s">
        <v>39</v>
      </c>
      <c r="M83" s="61" t="s">
        <v>39</v>
      </c>
      <c r="N83" s="61" t="s">
        <v>39</v>
      </c>
      <c r="O83" s="64" t="s">
        <v>436</v>
      </c>
      <c r="P83" s="61" t="s">
        <v>217</v>
      </c>
      <c r="Q83" s="61" t="s">
        <v>364</v>
      </c>
      <c r="R83" s="61" t="s">
        <v>217</v>
      </c>
      <c r="S83" s="61">
        <v>3</v>
      </c>
      <c r="T83" s="61" t="s">
        <v>323</v>
      </c>
      <c r="U83" s="53" t="s">
        <v>1092</v>
      </c>
      <c r="V83" s="73">
        <v>0.17699999999999999</v>
      </c>
      <c r="W83" s="73">
        <f t="shared" si="3"/>
        <v>0.69599999999999995</v>
      </c>
      <c r="X83" s="73">
        <f>0.6+(0.6*V83)+0.01-0.01-0.01</f>
        <v>0.69619999999999993</v>
      </c>
      <c r="Y83" s="73">
        <v>0.32500000000000001</v>
      </c>
      <c r="Z83" s="73">
        <f t="shared" si="4"/>
        <v>0.78500000000000003</v>
      </c>
      <c r="AA83" s="73">
        <f>0.6+(0.6*Y83)+0.01-0.01-0.01</f>
        <v>0.78499999999999992</v>
      </c>
      <c r="AB83" s="73">
        <f t="shared" si="5"/>
        <v>0.74049999999999994</v>
      </c>
      <c r="AC83" s="60">
        <f>3/5*1.5-0.01</f>
        <v>0.8899999999999999</v>
      </c>
      <c r="AD83" s="60" t="s">
        <v>811</v>
      </c>
      <c r="AE83" s="60" t="s">
        <v>812</v>
      </c>
      <c r="AF83" s="60" t="s">
        <v>1022</v>
      </c>
      <c r="AG83" s="60"/>
      <c r="AH83" s="73"/>
      <c r="AI83" s="73"/>
      <c r="AN83" s="73"/>
      <c r="AO83" s="73"/>
      <c r="AP83" s="73"/>
    </row>
    <row r="84" spans="1:42" s="61" customFormat="1" ht="142.94999999999999" customHeight="1">
      <c r="A84" s="58" t="s">
        <v>545</v>
      </c>
      <c r="B84" s="61">
        <v>1</v>
      </c>
      <c r="C84" s="61">
        <v>2012</v>
      </c>
      <c r="D84" s="60" t="s">
        <v>817</v>
      </c>
      <c r="E84" s="60" t="s">
        <v>40</v>
      </c>
      <c r="F84" s="60" t="s">
        <v>698</v>
      </c>
      <c r="G84" s="60" t="s">
        <v>71</v>
      </c>
      <c r="H84" s="60" t="s">
        <v>39</v>
      </c>
      <c r="I84" s="70" t="s">
        <v>267</v>
      </c>
      <c r="J84" s="70" t="s">
        <v>849</v>
      </c>
      <c r="K84" s="60" t="s">
        <v>820</v>
      </c>
      <c r="L84" s="61" t="s">
        <v>71</v>
      </c>
      <c r="M84" s="61" t="s">
        <v>39</v>
      </c>
      <c r="N84" s="61" t="s">
        <v>39</v>
      </c>
      <c r="O84" s="63">
        <v>96</v>
      </c>
      <c r="Q84" s="61" t="s">
        <v>71</v>
      </c>
      <c r="R84" s="61" t="s">
        <v>267</v>
      </c>
      <c r="S84" s="61">
        <v>2</v>
      </c>
      <c r="T84" s="61" t="s">
        <v>759</v>
      </c>
      <c r="U84" s="68" t="s">
        <v>915</v>
      </c>
      <c r="V84" s="73"/>
      <c r="W84" s="73">
        <f t="shared" si="3"/>
        <v>0.99</v>
      </c>
      <c r="X84" s="73">
        <v>0.99</v>
      </c>
      <c r="Y84" s="73"/>
      <c r="Z84" s="73">
        <f t="shared" si="4"/>
        <v>0.99</v>
      </c>
      <c r="AA84" s="73">
        <v>0.99</v>
      </c>
      <c r="AB84" s="73">
        <f t="shared" si="5"/>
        <v>0.99</v>
      </c>
      <c r="AC84" s="60">
        <f>1-0.01</f>
        <v>0.99</v>
      </c>
      <c r="AD84" s="60" t="s">
        <v>818</v>
      </c>
      <c r="AE84" s="60" t="s">
        <v>819</v>
      </c>
      <c r="AF84" s="60"/>
      <c r="AG84" s="60"/>
      <c r="AH84" s="73"/>
      <c r="AI84" s="73"/>
      <c r="AN84" s="73"/>
      <c r="AO84" s="73"/>
      <c r="AP84" s="73"/>
    </row>
    <row r="85" spans="1:42" s="61" customFormat="1" ht="64.95" customHeight="1">
      <c r="A85" s="58" t="s">
        <v>546</v>
      </c>
      <c r="B85" s="61">
        <v>1</v>
      </c>
      <c r="C85" s="61">
        <v>2014</v>
      </c>
      <c r="D85" s="60" t="s">
        <v>828</v>
      </c>
      <c r="E85" s="60" t="s">
        <v>40</v>
      </c>
      <c r="F85" s="60" t="s">
        <v>823</v>
      </c>
      <c r="G85" s="60" t="s">
        <v>71</v>
      </c>
      <c r="H85" s="60" t="s">
        <v>71</v>
      </c>
      <c r="I85" s="70" t="s">
        <v>267</v>
      </c>
      <c r="J85" s="70" t="s">
        <v>849</v>
      </c>
      <c r="K85" s="60" t="s">
        <v>731</v>
      </c>
      <c r="L85" s="61" t="s">
        <v>39</v>
      </c>
      <c r="M85" s="61" t="s">
        <v>39</v>
      </c>
      <c r="N85" s="61" t="s">
        <v>826</v>
      </c>
      <c r="O85" s="61" t="s">
        <v>138</v>
      </c>
      <c r="P85" s="61" t="s">
        <v>599</v>
      </c>
      <c r="Q85" s="61" t="s">
        <v>827</v>
      </c>
      <c r="R85" s="61" t="s">
        <v>217</v>
      </c>
      <c r="S85" s="61">
        <v>2</v>
      </c>
      <c r="T85" s="61" t="s">
        <v>965</v>
      </c>
      <c r="U85" s="68" t="s">
        <v>976</v>
      </c>
      <c r="V85" s="73">
        <v>0.10299999999999999</v>
      </c>
      <c r="W85" s="73">
        <f t="shared" si="3"/>
        <v>0.99</v>
      </c>
      <c r="X85" s="73">
        <v>0.99</v>
      </c>
      <c r="Y85" s="73">
        <v>0.23899999999999999</v>
      </c>
      <c r="Z85" s="73">
        <f t="shared" si="4"/>
        <v>0.99</v>
      </c>
      <c r="AA85" s="73">
        <v>0.99</v>
      </c>
      <c r="AB85" s="73">
        <f t="shared" si="5"/>
        <v>0.99</v>
      </c>
      <c r="AC85" s="60">
        <f>1-0.01</f>
        <v>0.99</v>
      </c>
      <c r="AD85" s="60" t="s">
        <v>824</v>
      </c>
      <c r="AE85" s="60" t="s">
        <v>825</v>
      </c>
      <c r="AF85" s="60"/>
      <c r="AG85" s="60"/>
      <c r="AH85" s="73"/>
      <c r="AI85" s="73"/>
      <c r="AN85" s="73"/>
      <c r="AO85" s="73"/>
      <c r="AP85" s="73"/>
    </row>
    <row r="86" spans="1:42" s="61" customFormat="1" ht="64.95" customHeight="1">
      <c r="A86" s="58" t="s">
        <v>1121</v>
      </c>
      <c r="B86" s="61">
        <v>0</v>
      </c>
      <c r="C86" s="61">
        <v>2000</v>
      </c>
      <c r="D86" s="60" t="s">
        <v>1110</v>
      </c>
      <c r="E86" s="60" t="s">
        <v>40</v>
      </c>
      <c r="F86" s="60" t="s">
        <v>831</v>
      </c>
      <c r="G86" s="60" t="s">
        <v>832</v>
      </c>
      <c r="H86" s="60" t="s">
        <v>39</v>
      </c>
      <c r="I86" s="70" t="s">
        <v>217</v>
      </c>
      <c r="J86" s="60" t="s">
        <v>40</v>
      </c>
      <c r="K86" s="60" t="s">
        <v>39</v>
      </c>
      <c r="L86" s="60" t="s">
        <v>39</v>
      </c>
      <c r="M86" s="60" t="s">
        <v>39</v>
      </c>
      <c r="N86" s="60" t="s">
        <v>39</v>
      </c>
      <c r="O86" s="64" t="s">
        <v>675</v>
      </c>
      <c r="P86" s="60" t="s">
        <v>217</v>
      </c>
      <c r="R86" s="60" t="s">
        <v>267</v>
      </c>
      <c r="S86" s="61">
        <v>2</v>
      </c>
      <c r="T86" s="61" t="s">
        <v>1111</v>
      </c>
      <c r="U86" s="68" t="s">
        <v>1114</v>
      </c>
      <c r="V86" s="73"/>
      <c r="W86" s="73">
        <f t="shared" si="3"/>
        <v>0.75</v>
      </c>
      <c r="X86" s="73">
        <v>0.75</v>
      </c>
      <c r="Y86" s="73"/>
      <c r="Z86" s="73">
        <f t="shared" si="4"/>
        <v>0.75</v>
      </c>
      <c r="AA86" s="73">
        <v>0.75</v>
      </c>
      <c r="AB86" s="73">
        <f t="shared" si="5"/>
        <v>0.75</v>
      </c>
      <c r="AC86" s="60">
        <v>0.75</v>
      </c>
      <c r="AD86" s="60" t="s">
        <v>1112</v>
      </c>
      <c r="AE86" s="60" t="s">
        <v>1113</v>
      </c>
      <c r="AF86" s="60"/>
      <c r="AG86" s="60"/>
      <c r="AH86" s="73"/>
      <c r="AI86" s="73"/>
      <c r="AN86" s="73"/>
      <c r="AO86" s="73"/>
      <c r="AP86" s="73"/>
    </row>
    <row r="87" spans="1:42" s="61" customFormat="1" ht="73.05" customHeight="1">
      <c r="A87" s="58" t="s">
        <v>1122</v>
      </c>
      <c r="B87" s="61">
        <v>0</v>
      </c>
      <c r="C87" s="61">
        <v>2005</v>
      </c>
      <c r="D87" s="60" t="s">
        <v>835</v>
      </c>
      <c r="E87" s="60" t="s">
        <v>40</v>
      </c>
      <c r="F87" s="60" t="s">
        <v>831</v>
      </c>
      <c r="G87" s="60" t="s">
        <v>832</v>
      </c>
      <c r="H87" s="60" t="s">
        <v>39</v>
      </c>
      <c r="I87" s="70" t="s">
        <v>217</v>
      </c>
      <c r="J87" s="60" t="s">
        <v>40</v>
      </c>
      <c r="K87" s="60" t="s">
        <v>833</v>
      </c>
      <c r="L87" s="61" t="s">
        <v>39</v>
      </c>
      <c r="M87" s="61" t="s">
        <v>39</v>
      </c>
      <c r="N87" s="61" t="s">
        <v>39</v>
      </c>
      <c r="O87" s="64" t="s">
        <v>675</v>
      </c>
      <c r="P87" s="61" t="s">
        <v>217</v>
      </c>
      <c r="Q87" s="61" t="s">
        <v>832</v>
      </c>
      <c r="R87" s="61" t="s">
        <v>267</v>
      </c>
      <c r="S87" s="61">
        <v>2</v>
      </c>
      <c r="T87" s="61" t="s">
        <v>435</v>
      </c>
      <c r="U87" s="68" t="s">
        <v>962</v>
      </c>
      <c r="V87" s="73"/>
      <c r="W87" s="73">
        <f t="shared" si="3"/>
        <v>1.27</v>
      </c>
      <c r="X87" s="73">
        <v>1.27</v>
      </c>
      <c r="Y87" s="73" t="s">
        <v>1044</v>
      </c>
      <c r="Z87" s="73">
        <f t="shared" si="4"/>
        <v>1.27</v>
      </c>
      <c r="AA87" s="73">
        <v>1.27</v>
      </c>
      <c r="AB87" s="73">
        <f t="shared" si="5"/>
        <v>1.27</v>
      </c>
      <c r="AC87" s="60">
        <f>3/4+0.5+0.02</f>
        <v>1.27</v>
      </c>
      <c r="AD87" s="62" t="s">
        <v>202</v>
      </c>
      <c r="AE87" s="60" t="s">
        <v>201</v>
      </c>
      <c r="AF87" s="60" t="s">
        <v>1066</v>
      </c>
      <c r="AG87" s="60"/>
      <c r="AH87" s="73"/>
      <c r="AI87" s="73"/>
      <c r="AN87" s="73"/>
      <c r="AO87" s="73"/>
      <c r="AP87" s="73"/>
    </row>
    <row r="88" spans="1:42" s="61" customFormat="1" ht="73.05" customHeight="1">
      <c r="A88" s="58" t="s">
        <v>548</v>
      </c>
      <c r="B88" s="61">
        <v>0</v>
      </c>
      <c r="C88" s="61" t="s">
        <v>238</v>
      </c>
      <c r="D88" s="60" t="s">
        <v>839</v>
      </c>
      <c r="E88" s="60" t="s">
        <v>40</v>
      </c>
      <c r="F88" s="60" t="s">
        <v>838</v>
      </c>
      <c r="G88" s="60" t="s">
        <v>55</v>
      </c>
      <c r="H88" s="60" t="s">
        <v>55</v>
      </c>
      <c r="I88" s="70"/>
      <c r="J88" s="60" t="s">
        <v>40</v>
      </c>
      <c r="K88" s="60" t="s">
        <v>40</v>
      </c>
      <c r="L88" s="61" t="s">
        <v>39</v>
      </c>
      <c r="M88" s="61" t="s">
        <v>39</v>
      </c>
      <c r="N88" s="61" t="s">
        <v>39</v>
      </c>
      <c r="O88" s="61" t="s">
        <v>71</v>
      </c>
      <c r="P88" s="61" t="s">
        <v>648</v>
      </c>
      <c r="Q88" s="61" t="s">
        <v>55</v>
      </c>
      <c r="R88" s="61" t="s">
        <v>217</v>
      </c>
      <c r="S88" s="61">
        <v>2</v>
      </c>
      <c r="T88" s="61" t="s">
        <v>348</v>
      </c>
      <c r="U88" s="53" t="s">
        <v>1093</v>
      </c>
      <c r="V88" s="73">
        <v>0</v>
      </c>
      <c r="W88" s="73">
        <f t="shared" si="3"/>
        <v>0.53</v>
      </c>
      <c r="X88" s="73">
        <v>0.53</v>
      </c>
      <c r="Y88" s="73">
        <v>0</v>
      </c>
      <c r="Z88" s="73">
        <f t="shared" si="4"/>
        <v>0.53</v>
      </c>
      <c r="AA88" s="73">
        <v>0.53</v>
      </c>
      <c r="AB88" s="73">
        <f t="shared" si="5"/>
        <v>0.53</v>
      </c>
      <c r="AC88" s="60">
        <f>0.5*1.5+0.03</f>
        <v>0.78</v>
      </c>
      <c r="AD88" s="62">
        <v>291</v>
      </c>
      <c r="AE88" s="60" t="s">
        <v>837</v>
      </c>
      <c r="AF88" s="60" t="s">
        <v>830</v>
      </c>
      <c r="AG88" s="60"/>
      <c r="AH88" s="73"/>
      <c r="AI88" s="73"/>
      <c r="AN88" s="73"/>
      <c r="AO88" s="73"/>
      <c r="AP88" s="73"/>
    </row>
    <row r="89" spans="1:42" s="61" customFormat="1" ht="97.05" customHeight="1">
      <c r="A89" s="58" t="s">
        <v>549</v>
      </c>
      <c r="B89" s="61">
        <v>0</v>
      </c>
      <c r="C89" s="61">
        <v>2007</v>
      </c>
      <c r="D89" s="60" t="s">
        <v>836</v>
      </c>
      <c r="E89" s="60" t="s">
        <v>40</v>
      </c>
      <c r="F89" s="60" t="s">
        <v>700</v>
      </c>
      <c r="G89" s="78" t="s">
        <v>51</v>
      </c>
      <c r="H89" s="78" t="s">
        <v>51</v>
      </c>
      <c r="I89" s="70" t="s">
        <v>267</v>
      </c>
      <c r="J89" s="70" t="s">
        <v>849</v>
      </c>
      <c r="K89" s="60" t="s">
        <v>40</v>
      </c>
      <c r="L89" s="61" t="s">
        <v>39</v>
      </c>
      <c r="M89" s="61" t="s">
        <v>39</v>
      </c>
      <c r="N89" s="61" t="s">
        <v>39</v>
      </c>
      <c r="O89" s="64" t="s">
        <v>345</v>
      </c>
      <c r="P89" s="61" t="s">
        <v>217</v>
      </c>
      <c r="Q89" s="61" t="s">
        <v>51</v>
      </c>
      <c r="R89" s="61" t="s">
        <v>217</v>
      </c>
      <c r="S89" s="61">
        <v>2</v>
      </c>
      <c r="T89" s="61" t="s">
        <v>348</v>
      </c>
      <c r="U89" s="68" t="s">
        <v>1077</v>
      </c>
      <c r="V89" s="73">
        <v>0.216</v>
      </c>
      <c r="W89" s="73">
        <f t="shared" si="3"/>
        <v>0.82099999999999995</v>
      </c>
      <c r="X89" s="73">
        <f>(2/3)+((2/3)*V89)+0.01</f>
        <v>0.82066666666666666</v>
      </c>
      <c r="Y89" s="73">
        <v>0.37</v>
      </c>
      <c r="Z89" s="73">
        <f t="shared" si="4"/>
        <v>0.92300000000000004</v>
      </c>
      <c r="AA89" s="73">
        <f>(2/3)+((2/3)*Y89)+0.01</f>
        <v>0.92333333333333334</v>
      </c>
      <c r="AB89" s="73">
        <f t="shared" si="5"/>
        <v>0.872</v>
      </c>
      <c r="AC89" s="60">
        <f>1.5*2/3+0.01</f>
        <v>1.01</v>
      </c>
      <c r="AD89" s="60" t="s">
        <v>198</v>
      </c>
      <c r="AE89" s="60" t="s">
        <v>199</v>
      </c>
      <c r="AF89" s="60"/>
      <c r="AG89" s="60"/>
      <c r="AH89" s="73"/>
      <c r="AI89" s="73"/>
      <c r="AN89" s="73"/>
      <c r="AO89" s="73"/>
      <c r="AP89" s="73"/>
    </row>
    <row r="90" spans="1:42" s="61" customFormat="1" ht="409.6">
      <c r="A90" s="58" t="s">
        <v>1100</v>
      </c>
      <c r="B90" s="61">
        <v>1</v>
      </c>
      <c r="C90" s="61">
        <v>1987</v>
      </c>
      <c r="D90" s="70" t="s">
        <v>1101</v>
      </c>
      <c r="E90" s="70" t="s">
        <v>592</v>
      </c>
      <c r="F90" s="70" t="s">
        <v>729</v>
      </c>
      <c r="G90" s="70" t="s">
        <v>51</v>
      </c>
      <c r="H90" s="70" t="s">
        <v>39</v>
      </c>
      <c r="I90" s="53" t="s">
        <v>272</v>
      </c>
      <c r="J90" s="70" t="s">
        <v>730</v>
      </c>
      <c r="K90" s="70" t="s">
        <v>731</v>
      </c>
      <c r="L90" s="86" t="s">
        <v>39</v>
      </c>
      <c r="M90" s="86" t="s">
        <v>39</v>
      </c>
      <c r="N90" s="86" t="s">
        <v>39</v>
      </c>
      <c r="O90" s="87">
        <v>43161</v>
      </c>
      <c r="P90" s="86" t="s">
        <v>217</v>
      </c>
      <c r="Q90" s="87" t="s">
        <v>51</v>
      </c>
      <c r="R90" s="86" t="s">
        <v>267</v>
      </c>
      <c r="S90" s="86">
        <v>2</v>
      </c>
      <c r="T90" s="86" t="s">
        <v>975</v>
      </c>
      <c r="U90" s="53" t="s">
        <v>1102</v>
      </c>
      <c r="V90" s="53"/>
      <c r="W90" s="73">
        <f t="shared" si="3"/>
        <v>1.1870000000000001</v>
      </c>
      <c r="X90" s="70">
        <f>(2/3)+0.5+0.01+0.01</f>
        <v>1.1866666666666665</v>
      </c>
      <c r="Y90" s="70"/>
      <c r="Z90" s="73">
        <f t="shared" si="4"/>
        <v>1.1870000000000001</v>
      </c>
      <c r="AA90" s="70">
        <f>(2/3)+0.5+0.01+0.01</f>
        <v>1.1866666666666665</v>
      </c>
      <c r="AB90" s="73">
        <f t="shared" si="5"/>
        <v>1.1870000000000001</v>
      </c>
      <c r="AC90" s="70">
        <v>1.1866666699999999</v>
      </c>
      <c r="AD90" s="70" t="s">
        <v>1103</v>
      </c>
      <c r="AE90" s="70"/>
      <c r="AF90" s="86"/>
    </row>
    <row r="91" spans="1:42" s="61" customFormat="1" ht="409.6">
      <c r="A91" s="58" t="s">
        <v>1120</v>
      </c>
      <c r="B91" s="61">
        <v>1</v>
      </c>
      <c r="C91" s="61">
        <v>2011</v>
      </c>
      <c r="D91" s="70" t="s">
        <v>917</v>
      </c>
      <c r="E91" s="70" t="s">
        <v>592</v>
      </c>
      <c r="F91" s="70" t="s">
        <v>729</v>
      </c>
      <c r="G91" s="70" t="s">
        <v>364</v>
      </c>
      <c r="H91" s="70" t="s">
        <v>39</v>
      </c>
      <c r="I91" s="70" t="s">
        <v>217</v>
      </c>
      <c r="J91" s="70" t="s">
        <v>730</v>
      </c>
      <c r="K91" s="70" t="s">
        <v>731</v>
      </c>
      <c r="L91" s="86" t="s">
        <v>39</v>
      </c>
      <c r="M91" s="86" t="s">
        <v>39</v>
      </c>
      <c r="N91" s="86" t="s">
        <v>39</v>
      </c>
      <c r="O91" s="88">
        <v>43164</v>
      </c>
      <c r="P91" s="86" t="s">
        <v>217</v>
      </c>
      <c r="Q91" s="87" t="s">
        <v>364</v>
      </c>
      <c r="R91" s="86" t="s">
        <v>267</v>
      </c>
      <c r="S91" s="86">
        <v>2</v>
      </c>
      <c r="T91" s="86" t="s">
        <v>975</v>
      </c>
      <c r="U91" s="53" t="s">
        <v>1104</v>
      </c>
      <c r="V91" s="70"/>
      <c r="W91" s="73">
        <f t="shared" si="3"/>
        <v>1.1100000000000001</v>
      </c>
      <c r="X91" s="70">
        <v>1.1100000000000001</v>
      </c>
      <c r="Y91" s="70"/>
      <c r="Z91" s="73">
        <f t="shared" si="4"/>
        <v>1.1100000000000001</v>
      </c>
      <c r="AA91" s="61">
        <f>0.6+0.5+0.01+0.01-0.01</f>
        <v>1.1100000000000001</v>
      </c>
      <c r="AB91" s="73">
        <f t="shared" si="5"/>
        <v>1.1100000000000001</v>
      </c>
      <c r="AC91" s="70">
        <f>0.6+0.5+0.01</f>
        <v>1.1100000000000001</v>
      </c>
      <c r="AD91" s="70" t="s">
        <v>728</v>
      </c>
      <c r="AE91" s="70"/>
      <c r="AF91" s="70" t="s">
        <v>1103</v>
      </c>
    </row>
    <row r="92" spans="1:42" s="61" customFormat="1" ht="130.94999999999999" customHeight="1">
      <c r="A92" s="58" t="s">
        <v>551</v>
      </c>
      <c r="B92" s="61">
        <v>0</v>
      </c>
      <c r="C92" s="61">
        <v>2014</v>
      </c>
      <c r="D92" s="60" t="s">
        <v>725</v>
      </c>
      <c r="E92" s="60" t="s">
        <v>723</v>
      </c>
      <c r="F92" s="60" t="s">
        <v>721</v>
      </c>
      <c r="G92" s="60" t="s">
        <v>51</v>
      </c>
      <c r="H92" s="60" t="s">
        <v>39</v>
      </c>
      <c r="I92" s="70" t="s">
        <v>217</v>
      </c>
      <c r="J92" s="60" t="s">
        <v>40</v>
      </c>
      <c r="K92" s="60" t="s">
        <v>726</v>
      </c>
      <c r="L92" s="61" t="s">
        <v>39</v>
      </c>
      <c r="M92" s="61" t="s">
        <v>39</v>
      </c>
      <c r="N92" s="61" t="s">
        <v>39</v>
      </c>
      <c r="O92" s="64" t="s">
        <v>345</v>
      </c>
      <c r="P92" s="61" t="s">
        <v>217</v>
      </c>
      <c r="Q92" s="69" t="s">
        <v>51</v>
      </c>
      <c r="R92" s="81" t="s">
        <v>267</v>
      </c>
      <c r="S92" s="81">
        <v>1</v>
      </c>
      <c r="T92" s="61" t="s">
        <v>341</v>
      </c>
      <c r="U92" s="68" t="s">
        <v>898</v>
      </c>
      <c r="V92" s="73"/>
      <c r="W92" s="73">
        <f t="shared" si="3"/>
        <v>0.68700000000000006</v>
      </c>
      <c r="X92" s="73">
        <v>0.68669999999999998</v>
      </c>
      <c r="Y92" s="73" t="s">
        <v>1044</v>
      </c>
      <c r="Z92" s="73">
        <f t="shared" si="4"/>
        <v>0.68700000000000006</v>
      </c>
      <c r="AA92" s="73">
        <v>0.68669999999999998</v>
      </c>
      <c r="AB92" s="73">
        <f t="shared" si="5"/>
        <v>0.68700000000000006</v>
      </c>
      <c r="AC92" s="60">
        <f>2/3+0.02</f>
        <v>0.68666666666666665</v>
      </c>
      <c r="AD92" s="60" t="s">
        <v>157</v>
      </c>
      <c r="AE92" s="60" t="s">
        <v>156</v>
      </c>
      <c r="AF92" s="60" t="s">
        <v>1067</v>
      </c>
      <c r="AG92" s="60" t="s">
        <v>1023</v>
      </c>
      <c r="AH92" s="73"/>
      <c r="AI92" s="73"/>
      <c r="AN92" s="73"/>
      <c r="AO92" s="73"/>
      <c r="AP92" s="73"/>
    </row>
    <row r="93" spans="1:42" s="61" customFormat="1" ht="130.94999999999999" customHeight="1">
      <c r="A93" s="58" t="s">
        <v>1123</v>
      </c>
      <c r="B93" s="61">
        <v>0</v>
      </c>
      <c r="C93" s="61">
        <v>1911</v>
      </c>
      <c r="D93" s="60" t="s">
        <v>1105</v>
      </c>
      <c r="E93" s="60" t="s">
        <v>39</v>
      </c>
      <c r="F93" s="60" t="s">
        <v>39</v>
      </c>
      <c r="G93" s="60" t="s">
        <v>39</v>
      </c>
      <c r="H93" s="60" t="s">
        <v>39</v>
      </c>
      <c r="I93" s="60" t="s">
        <v>39</v>
      </c>
      <c r="J93" s="60" t="s">
        <v>39</v>
      </c>
      <c r="K93" s="60" t="s">
        <v>39</v>
      </c>
      <c r="L93" s="60" t="s">
        <v>39</v>
      </c>
      <c r="M93" s="60" t="s">
        <v>39</v>
      </c>
      <c r="N93" s="60" t="s">
        <v>39</v>
      </c>
      <c r="O93" s="64"/>
      <c r="Q93" s="69" t="s">
        <v>560</v>
      </c>
      <c r="R93" s="81" t="s">
        <v>1107</v>
      </c>
      <c r="S93" s="81">
        <v>2</v>
      </c>
      <c r="U93" s="68" t="s">
        <v>1126</v>
      </c>
      <c r="V93" s="73">
        <v>0.34399999999999997</v>
      </c>
      <c r="W93" s="73">
        <f t="shared" si="3"/>
        <v>0.67200000000000004</v>
      </c>
      <c r="X93" s="73">
        <f>0.5+(0.5*V93)</f>
        <v>0.67199999999999993</v>
      </c>
      <c r="Y93" s="73">
        <v>0.55100000000000005</v>
      </c>
      <c r="Z93" s="73">
        <f t="shared" si="4"/>
        <v>0.77600000000000002</v>
      </c>
      <c r="AA93" s="73">
        <f>0.5+(0.5*Y93)</f>
        <v>0.77550000000000008</v>
      </c>
      <c r="AB93" s="73">
        <f t="shared" si="5"/>
        <v>0.72399999999999998</v>
      </c>
      <c r="AC93" s="60">
        <f>0.5+(0.5*0.5)</f>
        <v>0.75</v>
      </c>
      <c r="AD93" s="60"/>
      <c r="AE93" s="60"/>
      <c r="AF93" s="60"/>
      <c r="AG93" s="60"/>
      <c r="AH93" s="73"/>
      <c r="AI93" s="73"/>
      <c r="AN93" s="73"/>
      <c r="AO93" s="73"/>
      <c r="AP93" s="73"/>
    </row>
    <row r="94" spans="1:42" s="61" customFormat="1" ht="130.94999999999999" customHeight="1">
      <c r="A94" s="58" t="s">
        <v>1124</v>
      </c>
      <c r="B94" s="61">
        <v>1</v>
      </c>
      <c r="C94" s="61">
        <v>2013</v>
      </c>
      <c r="D94" s="60" t="s">
        <v>1106</v>
      </c>
      <c r="E94" s="60" t="s">
        <v>39</v>
      </c>
      <c r="F94" s="60" t="s">
        <v>39</v>
      </c>
      <c r="G94" s="60" t="s">
        <v>39</v>
      </c>
      <c r="H94" s="60" t="s">
        <v>39</v>
      </c>
      <c r="I94" s="60" t="s">
        <v>39</v>
      </c>
      <c r="J94" s="60" t="s">
        <v>39</v>
      </c>
      <c r="K94" s="60" t="s">
        <v>39</v>
      </c>
      <c r="L94" s="60" t="s">
        <v>39</v>
      </c>
      <c r="M94" s="60" t="s">
        <v>39</v>
      </c>
      <c r="N94" s="60" t="s">
        <v>39</v>
      </c>
      <c r="O94" s="64"/>
      <c r="Q94" s="69" t="s">
        <v>560</v>
      </c>
      <c r="R94" s="81" t="s">
        <v>267</v>
      </c>
      <c r="S94" s="81">
        <v>1</v>
      </c>
      <c r="T94" s="61" t="s">
        <v>1108</v>
      </c>
      <c r="U94" s="79" t="s">
        <v>1109</v>
      </c>
      <c r="V94" s="73"/>
      <c r="W94" s="73">
        <f t="shared" si="3"/>
        <v>0.5</v>
      </c>
      <c r="X94" s="73">
        <v>0.5</v>
      </c>
      <c r="Y94" s="73"/>
      <c r="Z94" s="73">
        <f t="shared" si="4"/>
        <v>0.5</v>
      </c>
      <c r="AA94" s="73">
        <v>0.5</v>
      </c>
      <c r="AB94" s="73">
        <f t="shared" si="5"/>
        <v>0.5</v>
      </c>
      <c r="AC94" s="60">
        <v>0.5</v>
      </c>
      <c r="AD94" s="60"/>
      <c r="AE94" s="60"/>
      <c r="AF94" s="60"/>
      <c r="AG94" s="60"/>
      <c r="AH94" s="73"/>
      <c r="AI94" s="73"/>
      <c r="AN94" s="73"/>
      <c r="AO94" s="73"/>
      <c r="AP94" s="73"/>
    </row>
    <row r="95" spans="1:42" s="61" customFormat="1" ht="82.95" customHeight="1">
      <c r="A95" s="58" t="s">
        <v>552</v>
      </c>
      <c r="B95" s="61">
        <v>0</v>
      </c>
      <c r="C95" s="61">
        <v>2004</v>
      </c>
      <c r="D95" s="60" t="s">
        <v>715</v>
      </c>
      <c r="E95" s="60" t="s">
        <v>717</v>
      </c>
      <c r="F95" s="60" t="s">
        <v>716</v>
      </c>
      <c r="G95" s="60" t="s">
        <v>719</v>
      </c>
      <c r="H95" s="60" t="s">
        <v>719</v>
      </c>
      <c r="I95" s="70" t="s">
        <v>217</v>
      </c>
      <c r="J95" s="60" t="s">
        <v>40</v>
      </c>
      <c r="K95" s="60" t="s">
        <v>71</v>
      </c>
      <c r="L95" s="61" t="s">
        <v>39</v>
      </c>
      <c r="M95" s="61" t="s">
        <v>39</v>
      </c>
      <c r="N95" s="61" t="s">
        <v>39</v>
      </c>
      <c r="O95" s="64" t="s">
        <v>345</v>
      </c>
      <c r="P95" s="61" t="s">
        <v>267</v>
      </c>
      <c r="Q95" s="61" t="s">
        <v>39</v>
      </c>
      <c r="R95" s="61" t="s">
        <v>217</v>
      </c>
      <c r="S95" s="61">
        <v>1</v>
      </c>
      <c r="T95" s="61" t="s">
        <v>720</v>
      </c>
      <c r="U95" s="68" t="s">
        <v>960</v>
      </c>
      <c r="V95" s="73">
        <v>8.6999999999999994E-2</v>
      </c>
      <c r="W95" s="73">
        <f t="shared" si="3"/>
        <v>0.5</v>
      </c>
      <c r="X95" s="73">
        <v>0.5</v>
      </c>
      <c r="Y95" s="73">
        <v>0.123</v>
      </c>
      <c r="Z95" s="73">
        <f t="shared" si="4"/>
        <v>0.5</v>
      </c>
      <c r="AA95" s="73">
        <v>0.5</v>
      </c>
      <c r="AB95" s="73">
        <f t="shared" si="5"/>
        <v>0.5</v>
      </c>
      <c r="AC95" s="60">
        <v>0.5</v>
      </c>
      <c r="AD95" s="60">
        <v>331</v>
      </c>
      <c r="AE95" s="60" t="s">
        <v>142</v>
      </c>
      <c r="AF95" s="60"/>
      <c r="AG95" s="60"/>
      <c r="AH95" s="73"/>
      <c r="AI95" s="73"/>
      <c r="AN95" s="73"/>
      <c r="AO95" s="73"/>
      <c r="AP95" s="73"/>
    </row>
    <row r="96" spans="1:42" s="61" customFormat="1" ht="145.05000000000001" customHeight="1">
      <c r="A96" s="58" t="s">
        <v>29</v>
      </c>
      <c r="B96" s="61">
        <v>1</v>
      </c>
      <c r="C96" s="61">
        <v>1992</v>
      </c>
      <c r="D96" s="60" t="s">
        <v>714</v>
      </c>
      <c r="E96" s="60" t="s">
        <v>40</v>
      </c>
      <c r="F96" s="60" t="s">
        <v>700</v>
      </c>
      <c r="G96" s="78" t="s">
        <v>51</v>
      </c>
      <c r="H96" s="60" t="s">
        <v>51</v>
      </c>
      <c r="I96" s="70" t="s">
        <v>267</v>
      </c>
      <c r="J96" s="70" t="s">
        <v>849</v>
      </c>
      <c r="K96" s="60" t="s">
        <v>40</v>
      </c>
      <c r="L96" s="61" t="s">
        <v>39</v>
      </c>
      <c r="M96" s="61" t="s">
        <v>39</v>
      </c>
      <c r="N96" s="61" t="s">
        <v>713</v>
      </c>
      <c r="O96" s="63">
        <v>99</v>
      </c>
      <c r="P96" s="61" t="s">
        <v>267</v>
      </c>
      <c r="Q96" s="83" t="s">
        <v>51</v>
      </c>
      <c r="R96" s="61" t="s">
        <v>217</v>
      </c>
      <c r="S96" s="61">
        <v>3</v>
      </c>
      <c r="T96" s="61" t="s">
        <v>674</v>
      </c>
      <c r="U96" s="68" t="s">
        <v>1094</v>
      </c>
      <c r="V96" s="73">
        <v>2.1000000000000001E-2</v>
      </c>
      <c r="W96" s="73">
        <f t="shared" si="3"/>
        <v>1.421</v>
      </c>
      <c r="X96" s="73">
        <f>(2/3)+((2/3)*V96)+0.75-0.01-0.01+0.01</f>
        <v>1.4206666666666667</v>
      </c>
      <c r="Y96" s="73">
        <v>3.5000000000000003E-2</v>
      </c>
      <c r="Z96" s="73">
        <v>1.43</v>
      </c>
      <c r="AA96" s="73">
        <f>(2/3)+((2/3)*Y96)+0.75-0.01-0.01+0.01</f>
        <v>1.43</v>
      </c>
      <c r="AB96" s="73">
        <f t="shared" si="5"/>
        <v>1.4255</v>
      </c>
      <c r="AC96" s="60">
        <v>1.74</v>
      </c>
      <c r="AD96" s="60">
        <v>5</v>
      </c>
      <c r="AE96" s="60" t="s">
        <v>63</v>
      </c>
      <c r="AF96" s="60"/>
      <c r="AG96" s="60"/>
      <c r="AH96" s="73"/>
      <c r="AI96" s="73"/>
      <c r="AN96" s="73"/>
      <c r="AO96" s="73"/>
      <c r="AP96" s="73"/>
    </row>
    <row r="97" spans="1:42" s="61" customFormat="1" ht="82.95" customHeight="1">
      <c r="A97" s="58" t="s">
        <v>553</v>
      </c>
      <c r="B97" s="61">
        <v>0</v>
      </c>
      <c r="C97" s="61" t="s">
        <v>241</v>
      </c>
      <c r="D97" s="60" t="s">
        <v>711</v>
      </c>
      <c r="E97" s="60" t="s">
        <v>710</v>
      </c>
      <c r="F97" s="60" t="s">
        <v>709</v>
      </c>
      <c r="G97" s="78" t="s">
        <v>51</v>
      </c>
      <c r="H97" s="60" t="s">
        <v>39</v>
      </c>
      <c r="I97" s="70" t="s">
        <v>217</v>
      </c>
      <c r="J97" s="60" t="s">
        <v>40</v>
      </c>
      <c r="K97" s="60" t="s">
        <v>712</v>
      </c>
      <c r="L97" s="61" t="s">
        <v>39</v>
      </c>
      <c r="M97" s="61" t="s">
        <v>39</v>
      </c>
      <c r="N97" s="61" t="s">
        <v>39</v>
      </c>
      <c r="O97" s="64" t="s">
        <v>345</v>
      </c>
      <c r="P97" s="61" t="s">
        <v>217</v>
      </c>
      <c r="Q97" s="61" t="s">
        <v>51</v>
      </c>
      <c r="R97" s="61" t="s">
        <v>267</v>
      </c>
      <c r="S97" s="61">
        <v>1</v>
      </c>
      <c r="T97" s="61" t="s">
        <v>341</v>
      </c>
      <c r="U97" s="65" t="s">
        <v>884</v>
      </c>
      <c r="V97" s="73"/>
      <c r="W97" s="73">
        <f t="shared" si="3"/>
        <v>0.67700000000000005</v>
      </c>
      <c r="X97" s="73">
        <v>0.67669999999999997</v>
      </c>
      <c r="Y97" s="73" t="s">
        <v>1044</v>
      </c>
      <c r="Z97" s="73">
        <f t="shared" si="4"/>
        <v>0.67700000000000005</v>
      </c>
      <c r="AA97" s="73">
        <v>0.67669999999999997</v>
      </c>
      <c r="AB97" s="73">
        <f t="shared" si="5"/>
        <v>0.67700000000000005</v>
      </c>
      <c r="AC97" s="60">
        <f>2/3+0.01</f>
        <v>0.67666666666666664</v>
      </c>
      <c r="AD97" s="60" t="s">
        <v>243</v>
      </c>
      <c r="AE97" s="60" t="s">
        <v>242</v>
      </c>
      <c r="AF97" s="60"/>
      <c r="AG97" s="60"/>
      <c r="AH97" s="73"/>
      <c r="AI97" s="73"/>
      <c r="AN97" s="73"/>
      <c r="AO97" s="73"/>
      <c r="AP97" s="73"/>
    </row>
    <row r="98" spans="1:42" s="61" customFormat="1" ht="106.95" customHeight="1">
      <c r="A98" s="58" t="s">
        <v>554</v>
      </c>
      <c r="B98" s="61">
        <v>0</v>
      </c>
      <c r="C98" s="61">
        <v>2009</v>
      </c>
      <c r="D98" s="60" t="s">
        <v>702</v>
      </c>
      <c r="E98" s="60" t="s">
        <v>592</v>
      </c>
      <c r="F98" s="60" t="s">
        <v>700</v>
      </c>
      <c r="G98" s="60" t="s">
        <v>51</v>
      </c>
      <c r="H98" s="60" t="s">
        <v>39</v>
      </c>
      <c r="I98" s="70" t="s">
        <v>217</v>
      </c>
      <c r="J98" s="60" t="s">
        <v>40</v>
      </c>
      <c r="K98" s="60" t="s">
        <v>701</v>
      </c>
      <c r="L98" s="61" t="s">
        <v>39</v>
      </c>
      <c r="M98" s="61" t="s">
        <v>39</v>
      </c>
      <c r="N98" s="61" t="s">
        <v>39</v>
      </c>
      <c r="O98" s="64" t="s">
        <v>345</v>
      </c>
      <c r="P98" s="61" t="s">
        <v>217</v>
      </c>
      <c r="Q98" s="61" t="s">
        <v>51</v>
      </c>
      <c r="R98" s="61" t="s">
        <v>267</v>
      </c>
      <c r="S98" s="61">
        <v>1</v>
      </c>
      <c r="T98" s="61" t="s">
        <v>341</v>
      </c>
      <c r="U98" s="68" t="s">
        <v>900</v>
      </c>
      <c r="V98" s="73"/>
      <c r="W98" s="73">
        <f t="shared" si="3"/>
        <v>0.69699999999999995</v>
      </c>
      <c r="X98" s="73">
        <v>0.69669999999999999</v>
      </c>
      <c r="Y98" s="73" t="s">
        <v>1044</v>
      </c>
      <c r="Z98" s="73">
        <f t="shared" si="4"/>
        <v>0.69699999999999995</v>
      </c>
      <c r="AA98" s="73">
        <v>0.69669999999999999</v>
      </c>
      <c r="AB98" s="73">
        <f t="shared" si="5"/>
        <v>0.69699999999999995</v>
      </c>
      <c r="AC98" s="60">
        <f>2/3 + 0.03</f>
        <v>0.69666666666666666</v>
      </c>
      <c r="AD98" s="60">
        <v>79</v>
      </c>
      <c r="AE98" s="60" t="s">
        <v>183</v>
      </c>
      <c r="AF98" s="60"/>
      <c r="AG98" s="60"/>
      <c r="AH98" s="73"/>
      <c r="AI98" s="73"/>
      <c r="AN98" s="73"/>
      <c r="AO98" s="73"/>
      <c r="AP98" s="73"/>
    </row>
    <row r="99" spans="1:42" s="61" customFormat="1">
      <c r="A99" s="58" t="s">
        <v>1098</v>
      </c>
      <c r="D99" s="60"/>
      <c r="E99" s="60"/>
      <c r="F99" s="60"/>
      <c r="G99" s="89"/>
      <c r="H99" s="60"/>
      <c r="I99" s="60"/>
      <c r="J99" s="60"/>
      <c r="K99" s="60"/>
      <c r="L99" s="90"/>
      <c r="M99" s="90"/>
      <c r="N99" s="90"/>
      <c r="O99" s="90"/>
      <c r="P99" s="90"/>
      <c r="U99" s="68"/>
      <c r="V99" s="73"/>
      <c r="W99" s="73"/>
      <c r="X99" s="73"/>
      <c r="Y99" s="73"/>
      <c r="Z99" s="73"/>
      <c r="AA99" s="73"/>
      <c r="AB99" s="73"/>
      <c r="AC99" s="89"/>
      <c r="AD99" s="60"/>
      <c r="AE99" s="60"/>
      <c r="AF99" s="60"/>
      <c r="AG99" s="60"/>
      <c r="AH99" s="73"/>
      <c r="AI99" s="73"/>
      <c r="AN99" s="73"/>
      <c r="AO99" s="73"/>
      <c r="AP99" s="73"/>
    </row>
    <row r="100" spans="1:42">
      <c r="B100" s="51"/>
      <c r="C100" s="51"/>
      <c r="D100" s="59"/>
      <c r="G100" s="74"/>
      <c r="L100" s="75"/>
      <c r="M100" s="75"/>
      <c r="N100" s="75"/>
      <c r="O100" s="75"/>
      <c r="P100" s="75"/>
      <c r="U100" s="56"/>
    </row>
    <row r="101" spans="1:42">
      <c r="B101" s="51"/>
      <c r="C101" s="51"/>
      <c r="D101" s="59"/>
    </row>
    <row r="102" spans="1:42">
      <c r="B102" s="51"/>
      <c r="C102" s="51"/>
      <c r="D102" s="59"/>
    </row>
    <row r="103" spans="1:42">
      <c r="B103" s="51"/>
      <c r="C103" s="51"/>
      <c r="D103" s="59"/>
    </row>
    <row r="104" spans="1:42">
      <c r="B104" s="51"/>
      <c r="C104" s="51"/>
      <c r="D104" s="59"/>
      <c r="U104" s="56"/>
      <c r="AC104" s="59"/>
    </row>
    <row r="105" spans="1:42">
      <c r="B105" s="51"/>
      <c r="C105" s="51"/>
      <c r="D105" s="59"/>
      <c r="U105" s="56"/>
      <c r="AC105" s="59"/>
    </row>
    <row r="106" spans="1:42">
      <c r="B106" s="51"/>
      <c r="C106" s="51"/>
      <c r="D106" s="59"/>
      <c r="U106" s="56"/>
      <c r="AC106" s="59"/>
    </row>
    <row r="107" spans="1:42">
      <c r="B107" s="51"/>
      <c r="C107" s="51"/>
      <c r="D107" s="59"/>
      <c r="U107" s="56"/>
      <c r="AC107" s="59"/>
    </row>
  </sheetData>
  <autoFilter ref="A1:AL107" xr:uid="{00000000-0009-0000-0000-000000000000}"/>
  <sortState xmlns:xlrd2="http://schemas.microsoft.com/office/spreadsheetml/2017/richdata2" ref="A2:AK107">
    <sortCondition ref="A2:A107"/>
  </sortState>
  <phoneticPr fontId="2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6"/>
  <sheetViews>
    <sheetView zoomScale="75" zoomScaleNormal="75" zoomScalePageLayoutView="75" workbookViewId="0">
      <pane xSplit="10" ySplit="1" topLeftCell="Z3" activePane="bottomRight" state="frozen"/>
      <selection pane="topRight" activeCell="K1" sqref="K1"/>
      <selection pane="bottomLeft" activeCell="A2" sqref="A2"/>
      <selection pane="bottomRight" activeCell="AC14" sqref="AC14"/>
    </sheetView>
  </sheetViews>
  <sheetFormatPr defaultColWidth="10.6328125" defaultRowHeight="75" customHeight="1"/>
  <cols>
    <col min="1" max="1" width="10.6328125" style="1"/>
    <col min="2" max="2" width="9.81640625" style="4" customWidth="1"/>
    <col min="3" max="3" width="2.453125" style="4" hidden="1" customWidth="1"/>
    <col min="4" max="5" width="0" style="4" hidden="1" customWidth="1"/>
    <col min="6" max="6" width="41.36328125" style="4" customWidth="1"/>
    <col min="7" max="8" width="10.6328125" style="1"/>
    <col min="9" max="9" width="7.81640625" style="1" customWidth="1"/>
    <col min="10" max="10" width="8.453125" style="1" customWidth="1"/>
    <col min="11" max="12" width="10.6328125" style="1"/>
    <col min="13" max="13" width="35.1796875" style="1" customWidth="1"/>
    <col min="14" max="18" width="10.6328125" style="1" customWidth="1"/>
    <col min="19" max="19" width="38.1796875" style="1" customWidth="1"/>
    <col min="20" max="21" width="13.1796875" style="1" customWidth="1"/>
    <col min="22" max="22" width="13.1796875" customWidth="1"/>
    <col min="23" max="23" width="23.453125" style="13" customWidth="1"/>
    <col min="24" max="24" width="19.1796875" style="12" customWidth="1"/>
    <col min="25" max="25" width="23.453125" style="13" customWidth="1"/>
    <col min="26" max="26" width="10.6328125" style="1"/>
    <col min="27" max="27" width="90.81640625" style="1" customWidth="1"/>
    <col min="28" max="28" width="29.453125" style="1" customWidth="1"/>
    <col min="29" max="29" width="27.81640625" style="1" customWidth="1"/>
    <col min="30" max="30" width="38" style="1" customWidth="1"/>
    <col min="31" max="16384" width="10.6328125" style="1"/>
  </cols>
  <sheetData>
    <row r="1" spans="1:31" ht="75" customHeight="1">
      <c r="B1" s="3"/>
      <c r="C1" s="3" t="s">
        <v>140</v>
      </c>
      <c r="D1" s="3" t="s">
        <v>139</v>
      </c>
      <c r="E1" s="4" t="s">
        <v>225</v>
      </c>
      <c r="F1" s="3" t="s">
        <v>45</v>
      </c>
      <c r="G1" s="3" t="s">
        <v>141</v>
      </c>
      <c r="H1" s="3" t="s">
        <v>166</v>
      </c>
      <c r="I1" s="3" t="s">
        <v>31</v>
      </c>
      <c r="J1" s="3" t="s">
        <v>32</v>
      </c>
      <c r="K1" s="3" t="s">
        <v>272</v>
      </c>
      <c r="L1" s="3" t="s">
        <v>33</v>
      </c>
      <c r="M1" s="3" t="s">
        <v>34</v>
      </c>
      <c r="N1" s="3" t="s">
        <v>636</v>
      </c>
      <c r="O1" s="3" t="s">
        <v>35</v>
      </c>
      <c r="P1" s="3" t="s">
        <v>36</v>
      </c>
      <c r="Q1" s="3" t="s">
        <v>226</v>
      </c>
      <c r="R1" s="3" t="s">
        <v>227</v>
      </c>
      <c r="S1" s="3" t="s">
        <v>646</v>
      </c>
      <c r="T1" s="3" t="s">
        <v>266</v>
      </c>
      <c r="U1" s="3" t="s">
        <v>275</v>
      </c>
      <c r="V1" s="3" t="s">
        <v>314</v>
      </c>
      <c r="W1" s="11" t="s">
        <v>252</v>
      </c>
      <c r="X1" s="14" t="s">
        <v>253</v>
      </c>
      <c r="Y1" s="11" t="s">
        <v>262</v>
      </c>
      <c r="Z1" s="3" t="s">
        <v>37</v>
      </c>
      <c r="AA1" s="3" t="s">
        <v>38</v>
      </c>
      <c r="AB1" s="3" t="s">
        <v>251</v>
      </c>
      <c r="AC1" s="4" t="s">
        <v>563</v>
      </c>
    </row>
    <row r="2" spans="1:31" s="4" customFormat="1" ht="75" customHeight="1">
      <c r="A2" s="10" t="s">
        <v>464</v>
      </c>
      <c r="B2" s="4" t="s">
        <v>72</v>
      </c>
      <c r="C2" s="1">
        <v>3.953897</v>
      </c>
      <c r="D2" s="1">
        <v>9</v>
      </c>
      <c r="E2" s="4">
        <v>2008</v>
      </c>
      <c r="F2" s="21" t="s">
        <v>273</v>
      </c>
      <c r="G2" t="s">
        <v>277</v>
      </c>
      <c r="H2" t="s">
        <v>276</v>
      </c>
      <c r="I2" s="17" t="s">
        <v>51</v>
      </c>
      <c r="J2" t="s">
        <v>39</v>
      </c>
      <c r="K2" t="s">
        <v>267</v>
      </c>
      <c r="L2" t="s">
        <v>848</v>
      </c>
      <c r="M2" t="s">
        <v>274</v>
      </c>
      <c r="N2" t="s">
        <v>39</v>
      </c>
      <c r="O2" t="s">
        <v>39</v>
      </c>
      <c r="P2" t="s">
        <v>39</v>
      </c>
      <c r="Q2" s="18" t="s">
        <v>345</v>
      </c>
      <c r="R2" t="s">
        <v>217</v>
      </c>
      <c r="S2" t="s">
        <v>51</v>
      </c>
      <c r="T2" s="1" t="s">
        <v>267</v>
      </c>
      <c r="U2" s="1">
        <v>1</v>
      </c>
      <c r="V2">
        <v>1</v>
      </c>
      <c r="W2" s="39" t="s">
        <v>301</v>
      </c>
      <c r="X2">
        <f>2/3 + 0.01</f>
        <v>0.67666666666666664</v>
      </c>
      <c r="Y2">
        <f>2/3 +0.01</f>
        <v>0.67666666666666664</v>
      </c>
      <c r="Z2" s="1">
        <v>177</v>
      </c>
      <c r="AA2" s="1" t="s">
        <v>922</v>
      </c>
      <c r="AB2" s="1"/>
      <c r="AC2" s="2" t="s">
        <v>921</v>
      </c>
    </row>
    <row r="3" spans="1:31" ht="75" customHeight="1">
      <c r="A3" s="4" t="s">
        <v>465</v>
      </c>
      <c r="B3" s="4" t="s">
        <v>73</v>
      </c>
      <c r="C3" s="5" t="s">
        <v>138</v>
      </c>
      <c r="D3" s="1">
        <v>8</v>
      </c>
      <c r="E3" s="1">
        <v>1994</v>
      </c>
      <c r="F3" s="21" t="s">
        <v>278</v>
      </c>
      <c r="G3" t="s">
        <v>40</v>
      </c>
      <c r="H3" s="21" t="s">
        <v>821</v>
      </c>
      <c r="I3" s="17" t="s">
        <v>51</v>
      </c>
      <c r="J3" s="17" t="s">
        <v>51</v>
      </c>
      <c r="K3" t="s">
        <v>217</v>
      </c>
      <c r="L3" t="s">
        <v>40</v>
      </c>
      <c r="M3" t="s">
        <v>40</v>
      </c>
      <c r="N3" t="s">
        <v>39</v>
      </c>
      <c r="O3" t="s">
        <v>39</v>
      </c>
      <c r="P3" t="s">
        <v>39</v>
      </c>
      <c r="Q3">
        <v>99</v>
      </c>
      <c r="R3" t="s">
        <v>599</v>
      </c>
      <c r="S3" t="s">
        <v>51</v>
      </c>
      <c r="T3" s="6" t="s">
        <v>217</v>
      </c>
      <c r="U3" s="6">
        <v>3</v>
      </c>
      <c r="V3" t="s">
        <v>822</v>
      </c>
      <c r="W3" s="4" t="s">
        <v>297</v>
      </c>
      <c r="X3" t="s">
        <v>297</v>
      </c>
      <c r="Y3" t="s">
        <v>297</v>
      </c>
      <c r="Z3" s="1">
        <v>30</v>
      </c>
      <c r="AA3" s="1" t="s">
        <v>155</v>
      </c>
      <c r="AB3" s="1" t="s">
        <v>244</v>
      </c>
      <c r="AC3" s="2" t="s">
        <v>919</v>
      </c>
      <c r="AD3" s="2" t="s">
        <v>920</v>
      </c>
    </row>
    <row r="4" spans="1:31" ht="75" customHeight="1">
      <c r="A4" s="25"/>
      <c r="B4" s="4" t="s">
        <v>74</v>
      </c>
      <c r="C4" s="1">
        <v>3.8234509999999999</v>
      </c>
      <c r="D4" s="1">
        <v>5</v>
      </c>
      <c r="E4" s="1">
        <v>2005</v>
      </c>
      <c r="F4" s="21" t="s">
        <v>279</v>
      </c>
      <c r="G4" t="s">
        <v>40</v>
      </c>
      <c r="H4" t="s">
        <v>283</v>
      </c>
      <c r="I4" t="s">
        <v>282</v>
      </c>
      <c r="J4" t="s">
        <v>39</v>
      </c>
      <c r="K4" t="s">
        <v>217</v>
      </c>
      <c r="L4" t="s">
        <v>281</v>
      </c>
      <c r="M4" t="s">
        <v>280</v>
      </c>
      <c r="N4" t="s">
        <v>39</v>
      </c>
      <c r="O4" t="s">
        <v>39</v>
      </c>
      <c r="P4" t="s">
        <v>39</v>
      </c>
      <c r="Q4"/>
      <c r="R4"/>
      <c r="S4" t="s">
        <v>284</v>
      </c>
      <c r="T4" s="1" t="s">
        <v>267</v>
      </c>
      <c r="U4" s="1">
        <v>3</v>
      </c>
      <c r="V4" t="s">
        <v>315</v>
      </c>
      <c r="W4" s="21" t="s">
        <v>855</v>
      </c>
      <c r="X4">
        <v>1.51</v>
      </c>
      <c r="Y4">
        <v>1.51</v>
      </c>
      <c r="Z4" s="1" t="s">
        <v>188</v>
      </c>
      <c r="AA4" s="1" t="s">
        <v>189</v>
      </c>
      <c r="AC4" s="6"/>
      <c r="AD4" s="6"/>
      <c r="AE4" s="6"/>
    </row>
    <row r="5" spans="1:31" ht="75" customHeight="1">
      <c r="A5" s="4" t="s">
        <v>466</v>
      </c>
      <c r="B5" s="4" t="s">
        <v>0</v>
      </c>
      <c r="C5" s="1"/>
      <c r="D5" s="1">
        <v>1</v>
      </c>
      <c r="E5" s="1">
        <v>1985</v>
      </c>
      <c r="F5" s="21" t="s">
        <v>286</v>
      </c>
      <c r="G5" t="s">
        <v>40</v>
      </c>
      <c r="H5" s="16" t="s">
        <v>666</v>
      </c>
      <c r="I5" t="s">
        <v>55</v>
      </c>
      <c r="J5" t="s">
        <v>55</v>
      </c>
      <c r="K5" t="s">
        <v>267</v>
      </c>
      <c r="L5" t="s">
        <v>288</v>
      </c>
      <c r="M5" t="s">
        <v>289</v>
      </c>
      <c r="N5" t="s">
        <v>39</v>
      </c>
      <c r="O5" t="s">
        <v>39</v>
      </c>
      <c r="P5" t="s">
        <v>39</v>
      </c>
      <c r="Q5" t="s">
        <v>582</v>
      </c>
      <c r="R5" t="s">
        <v>217</v>
      </c>
      <c r="S5" t="s">
        <v>55</v>
      </c>
      <c r="T5" s="1" t="s">
        <v>217</v>
      </c>
      <c r="U5" s="1">
        <v>3</v>
      </c>
      <c r="V5" t="s">
        <v>287</v>
      </c>
      <c r="W5" s="4" t="s">
        <v>768</v>
      </c>
      <c r="X5">
        <f>0.51+0.5+0.03</f>
        <v>1.04</v>
      </c>
      <c r="Y5" s="20">
        <f>0.51*1.5+0.5+0.02</f>
        <v>1.2850000000000001</v>
      </c>
      <c r="Z5" s="1">
        <v>128</v>
      </c>
      <c r="AA5" s="1" t="s">
        <v>54</v>
      </c>
      <c r="AC5" s="2" t="s">
        <v>923</v>
      </c>
      <c r="AD5" s="2" t="s">
        <v>298</v>
      </c>
    </row>
    <row r="6" spans="1:31" ht="75" customHeight="1">
      <c r="A6" s="4" t="s">
        <v>467</v>
      </c>
      <c r="B6" s="4" t="s">
        <v>1</v>
      </c>
      <c r="C6" s="1"/>
      <c r="D6" s="1">
        <v>1</v>
      </c>
      <c r="E6" s="1">
        <v>2013</v>
      </c>
      <c r="F6" s="21" t="s">
        <v>290</v>
      </c>
      <c r="G6" t="s">
        <v>40</v>
      </c>
      <c r="H6" s="16" t="s">
        <v>666</v>
      </c>
      <c r="I6" s="21" t="s">
        <v>305</v>
      </c>
      <c r="J6" t="s">
        <v>295</v>
      </c>
      <c r="K6" t="s">
        <v>217</v>
      </c>
      <c r="L6" s="18" t="s">
        <v>293</v>
      </c>
      <c r="M6" t="s">
        <v>40</v>
      </c>
      <c r="N6" t="s">
        <v>39</v>
      </c>
      <c r="O6" t="s">
        <v>39</v>
      </c>
      <c r="P6" t="s">
        <v>39</v>
      </c>
      <c r="Q6">
        <v>99</v>
      </c>
      <c r="R6" t="s">
        <v>267</v>
      </c>
      <c r="S6" t="s">
        <v>294</v>
      </c>
      <c r="T6" s="6" t="s">
        <v>291</v>
      </c>
      <c r="U6" s="6">
        <v>1</v>
      </c>
      <c r="V6">
        <v>1</v>
      </c>
      <c r="W6" s="21" t="s">
        <v>903</v>
      </c>
      <c r="X6">
        <f>2/3+0.02</f>
        <v>0.68666666666666665</v>
      </c>
      <c r="Y6">
        <f>2/3+0.02</f>
        <v>0.68666666666666665</v>
      </c>
      <c r="Z6" s="1" t="s">
        <v>44</v>
      </c>
      <c r="AA6" s="1" t="s">
        <v>292</v>
      </c>
      <c r="AB6" s="1" t="s">
        <v>245</v>
      </c>
    </row>
    <row r="7" spans="1:31" ht="75" customHeight="1">
      <c r="A7" s="23"/>
      <c r="B7" s="4" t="s">
        <v>77</v>
      </c>
      <c r="C7" s="1">
        <v>3.2999480000000001</v>
      </c>
      <c r="D7" s="1">
        <v>6</v>
      </c>
      <c r="E7" s="1">
        <v>2011</v>
      </c>
      <c r="F7" s="21" t="s">
        <v>300</v>
      </c>
      <c r="G7" t="s">
        <v>40</v>
      </c>
      <c r="H7" s="16" t="s">
        <v>666</v>
      </c>
      <c r="I7" t="s">
        <v>51</v>
      </c>
      <c r="J7" t="s">
        <v>39</v>
      </c>
      <c r="K7" t="s">
        <v>267</v>
      </c>
      <c r="L7" t="s">
        <v>299</v>
      </c>
      <c r="M7" t="s">
        <v>40</v>
      </c>
      <c r="N7" t="s">
        <v>39</v>
      </c>
      <c r="O7" t="s">
        <v>39</v>
      </c>
      <c r="P7" t="s">
        <v>39</v>
      </c>
      <c r="Q7">
        <v>99</v>
      </c>
      <c r="R7" t="s">
        <v>590</v>
      </c>
      <c r="S7" t="s">
        <v>51</v>
      </c>
      <c r="T7" s="1" t="s">
        <v>267</v>
      </c>
      <c r="U7" s="1">
        <v>1</v>
      </c>
      <c r="V7">
        <v>1</v>
      </c>
      <c r="W7" s="40" t="s">
        <v>301</v>
      </c>
      <c r="X7">
        <f>2/3+0.01</f>
        <v>0.67666666666666664</v>
      </c>
      <c r="Y7">
        <f>2/3+0.01</f>
        <v>0.67666666666666664</v>
      </c>
      <c r="Z7" s="1" t="s">
        <v>168</v>
      </c>
      <c r="AA7" s="1" t="s">
        <v>169</v>
      </c>
      <c r="AC7" s="2" t="s">
        <v>705</v>
      </c>
      <c r="AD7" s="2" t="s">
        <v>706</v>
      </c>
    </row>
    <row r="8" spans="1:31" ht="75" customHeight="1">
      <c r="A8" s="4" t="s">
        <v>468</v>
      </c>
      <c r="B8" s="4" t="s">
        <v>2</v>
      </c>
      <c r="C8" s="1"/>
      <c r="D8" s="1">
        <v>1</v>
      </c>
      <c r="E8" s="1">
        <v>2012</v>
      </c>
      <c r="F8" s="21" t="s">
        <v>304</v>
      </c>
      <c r="G8" t="s">
        <v>40</v>
      </c>
      <c r="H8" t="s">
        <v>672</v>
      </c>
      <c r="I8" t="s">
        <v>305</v>
      </c>
      <c r="J8" t="s">
        <v>305</v>
      </c>
      <c r="K8" t="s">
        <v>267</v>
      </c>
      <c r="L8" t="s">
        <v>306</v>
      </c>
      <c r="M8" t="s">
        <v>40</v>
      </c>
      <c r="N8" t="s">
        <v>39</v>
      </c>
      <c r="O8" t="s">
        <v>39</v>
      </c>
      <c r="P8" t="s">
        <v>39</v>
      </c>
      <c r="Q8" s="18" t="s">
        <v>345</v>
      </c>
      <c r="R8" t="s">
        <v>217</v>
      </c>
      <c r="S8" t="s">
        <v>307</v>
      </c>
      <c r="T8" s="1" t="s">
        <v>217</v>
      </c>
      <c r="U8" s="1">
        <v>2</v>
      </c>
      <c r="V8" t="s">
        <v>316</v>
      </c>
      <c r="W8" s="4" t="s">
        <v>308</v>
      </c>
      <c r="X8">
        <f>2/3+0.01*2</f>
        <v>0.68666666666666665</v>
      </c>
      <c r="Y8">
        <f>2/3*1.5+0.01*1</f>
        <v>1.01</v>
      </c>
      <c r="Z8" s="1" t="s">
        <v>303</v>
      </c>
      <c r="AA8" s="1" t="s">
        <v>302</v>
      </c>
    </row>
    <row r="9" spans="1:31" ht="75" customHeight="1">
      <c r="A9" s="4" t="s">
        <v>469</v>
      </c>
      <c r="B9" s="4" t="s">
        <v>76</v>
      </c>
      <c r="C9" s="1">
        <v>3.2115230000000001</v>
      </c>
      <c r="D9" s="1">
        <v>7</v>
      </c>
      <c r="E9" s="1">
        <v>1990</v>
      </c>
      <c r="F9" s="21" t="s">
        <v>309</v>
      </c>
      <c r="G9" t="s">
        <v>40</v>
      </c>
      <c r="H9" t="s">
        <v>310</v>
      </c>
      <c r="I9" s="21" t="s">
        <v>311</v>
      </c>
      <c r="J9" s="21" t="s">
        <v>39</v>
      </c>
      <c r="K9" t="s">
        <v>217</v>
      </c>
      <c r="L9" t="s">
        <v>40</v>
      </c>
      <c r="M9" t="s">
        <v>317</v>
      </c>
      <c r="N9" t="s">
        <v>39</v>
      </c>
      <c r="O9" t="s">
        <v>39</v>
      </c>
      <c r="P9" t="s">
        <v>39</v>
      </c>
      <c r="Q9" t="s">
        <v>703</v>
      </c>
      <c r="R9" t="s">
        <v>267</v>
      </c>
      <c r="S9" t="s">
        <v>318</v>
      </c>
      <c r="T9" s="1" t="s">
        <v>267</v>
      </c>
      <c r="U9" s="1">
        <v>2</v>
      </c>
      <c r="V9" t="s">
        <v>313</v>
      </c>
      <c r="W9" s="4" t="s">
        <v>859</v>
      </c>
      <c r="X9">
        <f>3/4+0.5+0.02</f>
        <v>1.27</v>
      </c>
      <c r="Y9">
        <f>3/4+0.5+0.02</f>
        <v>1.27</v>
      </c>
      <c r="Z9" s="1" t="s">
        <v>223</v>
      </c>
      <c r="AA9" s="1" t="s">
        <v>312</v>
      </c>
    </row>
    <row r="10" spans="1:31" s="6" customFormat="1" ht="75" customHeight="1">
      <c r="A10" s="10" t="s">
        <v>470</v>
      </c>
      <c r="B10" s="10" t="s">
        <v>79</v>
      </c>
      <c r="C10" s="6">
        <v>3.7065060000000001</v>
      </c>
      <c r="D10" s="6">
        <v>8</v>
      </c>
      <c r="E10" s="6" t="s">
        <v>219</v>
      </c>
      <c r="F10" s="21" t="s">
        <v>325</v>
      </c>
      <c r="G10" t="s">
        <v>40</v>
      </c>
      <c r="H10" t="s">
        <v>319</v>
      </c>
      <c r="I10" s="21" t="s">
        <v>320</v>
      </c>
      <c r="J10" s="21" t="s">
        <v>326</v>
      </c>
      <c r="K10" t="s">
        <v>217</v>
      </c>
      <c r="L10" t="s">
        <v>327</v>
      </c>
      <c r="M10" t="s">
        <v>321</v>
      </c>
      <c r="N10" t="s">
        <v>39</v>
      </c>
      <c r="O10" t="s">
        <v>39</v>
      </c>
      <c r="P10" t="s">
        <v>39</v>
      </c>
      <c r="Q10" t="s">
        <v>703</v>
      </c>
      <c r="R10" t="s">
        <v>267</v>
      </c>
      <c r="S10" t="s">
        <v>322</v>
      </c>
      <c r="T10" s="6" t="s">
        <v>217</v>
      </c>
      <c r="U10" s="6">
        <v>3</v>
      </c>
      <c r="V10" t="s">
        <v>323</v>
      </c>
      <c r="W10" s="4" t="s">
        <v>324</v>
      </c>
      <c r="X10">
        <f>2/3+0.5+0.01</f>
        <v>1.1766666666666665</v>
      </c>
      <c r="Y10">
        <f>2/3*1.5+0.5</f>
        <v>1.5</v>
      </c>
      <c r="Z10" s="6">
        <v>411</v>
      </c>
      <c r="AA10" s="6" t="s">
        <v>233</v>
      </c>
      <c r="AC10" s="2" t="s">
        <v>707</v>
      </c>
      <c r="AD10" s="2" t="s">
        <v>708</v>
      </c>
    </row>
    <row r="11" spans="1:31" s="6" customFormat="1" ht="75" customHeight="1">
      <c r="A11" s="10" t="s">
        <v>471</v>
      </c>
      <c r="B11" s="10" t="s">
        <v>81</v>
      </c>
      <c r="C11" s="6">
        <v>4.1166330000000002</v>
      </c>
      <c r="D11" s="6">
        <v>8</v>
      </c>
      <c r="E11" s="6">
        <v>2002</v>
      </c>
      <c r="F11" s="32" t="s">
        <v>957</v>
      </c>
      <c r="G11" s="31"/>
      <c r="H11" s="31" t="s">
        <v>666</v>
      </c>
      <c r="I11" s="31"/>
      <c r="J11" s="31"/>
      <c r="K11" s="31" t="s">
        <v>267</v>
      </c>
      <c r="L11" s="31"/>
      <c r="M11" s="31"/>
      <c r="N11" s="31"/>
      <c r="O11" s="31"/>
      <c r="P11" s="31"/>
      <c r="Q11" s="31"/>
      <c r="R11" s="31"/>
      <c r="S11" s="31"/>
      <c r="T11" s="6" t="s">
        <v>267</v>
      </c>
      <c r="V11" s="31"/>
      <c r="W11" s="32" t="e">
        <f ca="1">+ e(publish in gazette)</f>
        <v>#NAME?</v>
      </c>
      <c r="X11" s="31"/>
      <c r="Y11" s="31"/>
      <c r="Z11" s="6" t="s">
        <v>328</v>
      </c>
      <c r="AA11" s="6" t="s">
        <v>329</v>
      </c>
      <c r="AC11" s="2" t="s">
        <v>958</v>
      </c>
    </row>
    <row r="12" spans="1:31" ht="75" customHeight="1">
      <c r="A12" s="4" t="s">
        <v>472</v>
      </c>
      <c r="B12" s="4" t="s">
        <v>80</v>
      </c>
      <c r="C12" s="1">
        <v>4.1240819999999996</v>
      </c>
      <c r="D12" s="1">
        <v>8</v>
      </c>
      <c r="E12" s="1">
        <v>2014</v>
      </c>
      <c r="F12" s="21" t="s">
        <v>336</v>
      </c>
      <c r="G12" t="s">
        <v>332</v>
      </c>
      <c r="H12" t="s">
        <v>330</v>
      </c>
      <c r="I12" t="s">
        <v>331</v>
      </c>
      <c r="J12" t="s">
        <v>331</v>
      </c>
      <c r="K12" t="s">
        <v>217</v>
      </c>
      <c r="L12" t="s">
        <v>40</v>
      </c>
      <c r="M12" t="s">
        <v>40</v>
      </c>
      <c r="N12" t="s">
        <v>39</v>
      </c>
      <c r="O12" t="s">
        <v>39</v>
      </c>
      <c r="P12" t="s">
        <v>39</v>
      </c>
      <c r="Q12"/>
      <c r="R12" t="s">
        <v>599</v>
      </c>
      <c r="S12" t="s">
        <v>333</v>
      </c>
      <c r="T12" s="8" t="s">
        <v>217</v>
      </c>
      <c r="U12" s="8">
        <v>2</v>
      </c>
      <c r="V12" t="s">
        <v>334</v>
      </c>
      <c r="W12" s="4" t="s">
        <v>335</v>
      </c>
      <c r="X12">
        <f>3/5+0.02</f>
        <v>0.62</v>
      </c>
      <c r="Y12">
        <f>1.5*3/5+0.01</f>
        <v>0.91</v>
      </c>
      <c r="Z12" s="1">
        <v>60</v>
      </c>
      <c r="AA12" s="1" t="s">
        <v>255</v>
      </c>
    </row>
    <row r="13" spans="1:31" ht="75" customHeight="1">
      <c r="A13" s="4" t="s">
        <v>473</v>
      </c>
      <c r="B13" s="4" t="s">
        <v>78</v>
      </c>
      <c r="C13" s="1">
        <v>4.1748099999999999</v>
      </c>
      <c r="D13" s="1">
        <v>9</v>
      </c>
      <c r="E13" s="1">
        <v>2007</v>
      </c>
      <c r="F13" s="21" t="s">
        <v>337</v>
      </c>
      <c r="G13" t="s">
        <v>40</v>
      </c>
      <c r="H13" t="s">
        <v>339</v>
      </c>
      <c r="I13" s="21" t="s">
        <v>340</v>
      </c>
      <c r="J13" s="21" t="s">
        <v>39</v>
      </c>
      <c r="K13" t="s">
        <v>217</v>
      </c>
      <c r="L13" t="s">
        <v>40</v>
      </c>
      <c r="M13" t="s">
        <v>40</v>
      </c>
      <c r="N13" t="s">
        <v>39</v>
      </c>
      <c r="O13" t="s">
        <v>39</v>
      </c>
      <c r="P13" t="s">
        <v>39</v>
      </c>
      <c r="Q13" t="s">
        <v>703</v>
      </c>
      <c r="R13" t="s">
        <v>704</v>
      </c>
      <c r="S13" t="s">
        <v>860</v>
      </c>
      <c r="T13" s="1" t="s">
        <v>267</v>
      </c>
      <c r="U13" s="1">
        <v>1</v>
      </c>
      <c r="V13" t="s">
        <v>341</v>
      </c>
      <c r="W13" s="4" t="s">
        <v>862</v>
      </c>
      <c r="X13">
        <f>0.75+0.02</f>
        <v>0.77</v>
      </c>
      <c r="Y13">
        <f>X13</f>
        <v>0.77</v>
      </c>
      <c r="Z13" s="1" t="s">
        <v>147</v>
      </c>
      <c r="AA13" s="1" t="s">
        <v>256</v>
      </c>
      <c r="AC13" s="2" t="s">
        <v>338</v>
      </c>
      <c r="AD13" s="2" t="s">
        <v>924</v>
      </c>
    </row>
    <row r="14" spans="1:31" ht="75" customHeight="1">
      <c r="A14" s="4" t="s">
        <v>474</v>
      </c>
      <c r="B14" s="4" t="s">
        <v>75</v>
      </c>
      <c r="C14" s="1">
        <v>2.857297</v>
      </c>
      <c r="D14" s="1">
        <v>6</v>
      </c>
      <c r="E14" s="1">
        <v>2005</v>
      </c>
      <c r="F14" s="21" t="s">
        <v>342</v>
      </c>
      <c r="G14" t="s">
        <v>40</v>
      </c>
      <c r="H14" t="s">
        <v>343</v>
      </c>
      <c r="I14" s="22" t="s">
        <v>344</v>
      </c>
      <c r="J14" s="22" t="s">
        <v>345</v>
      </c>
      <c r="K14" t="s">
        <v>217</v>
      </c>
      <c r="L14" t="s">
        <v>346</v>
      </c>
      <c r="M14" t="s">
        <v>347</v>
      </c>
      <c r="N14"/>
      <c r="O14"/>
      <c r="P14"/>
      <c r="Q14" t="s">
        <v>703</v>
      </c>
      <c r="R14" t="s">
        <v>267</v>
      </c>
      <c r="S14" s="18" t="s">
        <v>861</v>
      </c>
      <c r="T14" s="1" t="s">
        <v>217</v>
      </c>
      <c r="U14" s="1">
        <v>2</v>
      </c>
      <c r="V14" t="s">
        <v>348</v>
      </c>
      <c r="W14" s="3" t="s">
        <v>863</v>
      </c>
      <c r="X14">
        <f>4/5+0.02</f>
        <v>0.82000000000000006</v>
      </c>
      <c r="Y14">
        <f>4/5+2/3*0.5 +0.01</f>
        <v>1.1433333333333333</v>
      </c>
      <c r="Z14" s="1" t="s">
        <v>160</v>
      </c>
      <c r="AA14" s="1" t="s">
        <v>161</v>
      </c>
      <c r="AC14" s="2" t="s">
        <v>349</v>
      </c>
      <c r="AD14" s="2" t="s">
        <v>350</v>
      </c>
    </row>
    <row r="15" spans="1:31" ht="75" customHeight="1">
      <c r="A15" s="4" t="s">
        <v>475</v>
      </c>
      <c r="B15" s="4" t="s">
        <v>3</v>
      </c>
      <c r="C15" s="1"/>
      <c r="D15" s="1">
        <v>1</v>
      </c>
      <c r="E15" s="1">
        <v>2011</v>
      </c>
      <c r="F15" s="21" t="s">
        <v>352</v>
      </c>
      <c r="G15" t="s">
        <v>40</v>
      </c>
      <c r="H15" t="s">
        <v>351</v>
      </c>
      <c r="I15" t="s">
        <v>71</v>
      </c>
      <c r="J15" t="s">
        <v>71</v>
      </c>
      <c r="K15" t="s">
        <v>267</v>
      </c>
      <c r="L15" t="s">
        <v>849</v>
      </c>
      <c r="N15" t="s">
        <v>39</v>
      </c>
      <c r="O15" t="s">
        <v>39</v>
      </c>
      <c r="P15" t="s">
        <v>353</v>
      </c>
      <c r="Q15">
        <v>99</v>
      </c>
      <c r="R15" t="s">
        <v>267</v>
      </c>
      <c r="S15" t="s">
        <v>354</v>
      </c>
      <c r="T15" s="6" t="s">
        <v>217</v>
      </c>
      <c r="U15" s="6">
        <v>3</v>
      </c>
      <c r="V15" t="s">
        <v>355</v>
      </c>
      <c r="W15" s="4" t="s">
        <v>356</v>
      </c>
      <c r="X15">
        <f>0.5+2/3+0.01</f>
        <v>1.1766666666666665</v>
      </c>
      <c r="Y15">
        <f>0.5+0.5*0.5</f>
        <v>0.75</v>
      </c>
      <c r="Z15" s="1" t="s">
        <v>358</v>
      </c>
      <c r="AA15" s="1" t="s">
        <v>357</v>
      </c>
      <c r="AB15" s="1" t="s">
        <v>70</v>
      </c>
      <c r="AC15" s="2" t="s">
        <v>925</v>
      </c>
      <c r="AD15" s="2" t="s">
        <v>926</v>
      </c>
    </row>
    <row r="16" spans="1:31" ht="75" customHeight="1">
      <c r="A16" s="4" t="s">
        <v>476</v>
      </c>
      <c r="B16" s="4" t="s">
        <v>127</v>
      </c>
      <c r="C16" s="1">
        <v>3.7632490000000001</v>
      </c>
      <c r="D16" s="1">
        <v>10</v>
      </c>
      <c r="E16" s="1">
        <v>1992</v>
      </c>
      <c r="F16" s="21" t="s">
        <v>363</v>
      </c>
      <c r="G16" t="s">
        <v>361</v>
      </c>
      <c r="H16" t="s">
        <v>362</v>
      </c>
      <c r="I16" t="s">
        <v>51</v>
      </c>
      <c r="J16" t="s">
        <v>39</v>
      </c>
      <c r="K16" t="s">
        <v>217</v>
      </c>
      <c r="L16" t="s">
        <v>195</v>
      </c>
      <c r="M16" t="s">
        <v>40</v>
      </c>
      <c r="N16" t="s">
        <v>39</v>
      </c>
      <c r="O16" t="s">
        <v>39</v>
      </c>
      <c r="P16" t="s">
        <v>39</v>
      </c>
      <c r="Q16" t="s">
        <v>138</v>
      </c>
      <c r="R16" t="s">
        <v>599</v>
      </c>
      <c r="S16" t="s">
        <v>51</v>
      </c>
      <c r="T16" s="1" t="s">
        <v>267</v>
      </c>
      <c r="U16" s="1">
        <v>1</v>
      </c>
      <c r="V16" t="s">
        <v>341</v>
      </c>
      <c r="W16" s="4" t="s">
        <v>864</v>
      </c>
      <c r="X16">
        <f>2/3</f>
        <v>0.66666666666666663</v>
      </c>
      <c r="Y16">
        <f>2/3</f>
        <v>0.66666666666666663</v>
      </c>
      <c r="Z16" s="1" t="s">
        <v>360</v>
      </c>
      <c r="AA16" s="1" t="s">
        <v>359</v>
      </c>
    </row>
    <row r="17" spans="1:35" ht="75" customHeight="1">
      <c r="A17" s="4" t="s">
        <v>477</v>
      </c>
      <c r="B17" s="4" t="s">
        <v>4</v>
      </c>
      <c r="C17" s="1"/>
      <c r="D17" s="1">
        <v>1</v>
      </c>
      <c r="E17" s="1">
        <v>2014</v>
      </c>
      <c r="F17" s="21" t="s">
        <v>370</v>
      </c>
      <c r="G17" s="1" t="s">
        <v>40</v>
      </c>
      <c r="H17" t="s">
        <v>365</v>
      </c>
      <c r="I17" t="s">
        <v>364</v>
      </c>
      <c r="J17" t="s">
        <v>364</v>
      </c>
      <c r="K17" t="s">
        <v>217</v>
      </c>
      <c r="L17" t="s">
        <v>366</v>
      </c>
      <c r="M17" t="s">
        <v>367</v>
      </c>
      <c r="N17" t="s">
        <v>39</v>
      </c>
      <c r="O17" t="s">
        <v>39</v>
      </c>
      <c r="P17" t="s">
        <v>39</v>
      </c>
      <c r="Q17" t="s">
        <v>703</v>
      </c>
      <c r="R17" t="s">
        <v>267</v>
      </c>
      <c r="S17" t="s">
        <v>368</v>
      </c>
      <c r="T17" s="15" t="s">
        <v>217</v>
      </c>
      <c r="U17" s="15">
        <v>3</v>
      </c>
      <c r="V17" t="s">
        <v>369</v>
      </c>
      <c r="W17" s="4" t="s">
        <v>865</v>
      </c>
      <c r="X17">
        <f>3/5+0.5+0.01</f>
        <v>1.1100000000000001</v>
      </c>
      <c r="Y17">
        <f>3/5*1.5+0.5</f>
        <v>1.4</v>
      </c>
      <c r="Z17" s="1" t="s">
        <v>56</v>
      </c>
      <c r="AA17" s="1" t="s">
        <v>57</v>
      </c>
      <c r="AC17" s="2" t="s">
        <v>927</v>
      </c>
    </row>
    <row r="18" spans="1:35" ht="127.05" customHeight="1">
      <c r="A18" s="4" t="s">
        <v>478</v>
      </c>
      <c r="B18" s="4" t="s">
        <v>82</v>
      </c>
      <c r="C18" s="1">
        <v>4.0221910000000003</v>
      </c>
      <c r="D18" s="1">
        <v>7</v>
      </c>
      <c r="E18" s="1">
        <v>2013</v>
      </c>
      <c r="F18" s="21" t="s">
        <v>383</v>
      </c>
      <c r="G18" t="s">
        <v>40</v>
      </c>
      <c r="H18" t="s">
        <v>372</v>
      </c>
      <c r="I18" t="s">
        <v>373</v>
      </c>
      <c r="J18" t="s">
        <v>373</v>
      </c>
      <c r="K18" t="s">
        <v>217</v>
      </c>
      <c r="L18" t="s">
        <v>40</v>
      </c>
      <c r="M18" t="s">
        <v>374</v>
      </c>
      <c r="N18" t="s">
        <v>39</v>
      </c>
      <c r="O18" t="s">
        <v>39</v>
      </c>
      <c r="P18" t="s">
        <v>39</v>
      </c>
      <c r="Q18" t="s">
        <v>138</v>
      </c>
      <c r="R18" t="s">
        <v>267</v>
      </c>
      <c r="S18" t="s">
        <v>378</v>
      </c>
      <c r="T18" s="8" t="s">
        <v>217</v>
      </c>
      <c r="U18" s="8">
        <v>2</v>
      </c>
      <c r="V18" t="s">
        <v>348</v>
      </c>
      <c r="W18" s="4" t="s">
        <v>375</v>
      </c>
      <c r="X18">
        <f>0.5+0.01</f>
        <v>0.51</v>
      </c>
      <c r="Y18">
        <f>1.5*0.5+0</f>
        <v>0.75</v>
      </c>
      <c r="Z18" s="1" t="s">
        <v>371</v>
      </c>
      <c r="AA18" s="1" t="s">
        <v>211</v>
      </c>
      <c r="AC18" s="2" t="s">
        <v>928</v>
      </c>
    </row>
    <row r="19" spans="1:35" ht="75" customHeight="1">
      <c r="B19" s="4" t="s">
        <v>175</v>
      </c>
      <c r="C19" s="1">
        <v>2.7850459999999999</v>
      </c>
      <c r="D19" s="1">
        <v>5</v>
      </c>
      <c r="E19" s="1">
        <v>2011</v>
      </c>
      <c r="F19" s="21" t="s">
        <v>382</v>
      </c>
      <c r="G19" t="s">
        <v>40</v>
      </c>
      <c r="H19" t="s">
        <v>376</v>
      </c>
      <c r="I19" t="s">
        <v>55</v>
      </c>
      <c r="J19" t="s">
        <v>55</v>
      </c>
      <c r="K19" t="s">
        <v>217</v>
      </c>
      <c r="L19" t="s">
        <v>381</v>
      </c>
      <c r="M19" t="s">
        <v>377</v>
      </c>
      <c r="N19"/>
      <c r="O19"/>
      <c r="P19"/>
      <c r="Q19"/>
      <c r="R19"/>
      <c r="S19" t="s">
        <v>380</v>
      </c>
      <c r="T19" s="1" t="s">
        <v>217</v>
      </c>
      <c r="U19" s="1">
        <v>3</v>
      </c>
      <c r="V19" t="s">
        <v>379</v>
      </c>
      <c r="W19" s="21" t="s">
        <v>767</v>
      </c>
      <c r="X19">
        <f>0.51+0.5</f>
        <v>1.01</v>
      </c>
      <c r="Y19">
        <f>1.5*0.51+0.5-0.01</f>
        <v>1.2550000000000001</v>
      </c>
      <c r="Z19" s="1" t="s">
        <v>176</v>
      </c>
      <c r="AA19" s="1" t="s">
        <v>177</v>
      </c>
    </row>
    <row r="20" spans="1:35" ht="75" customHeight="1">
      <c r="A20" s="4" t="s">
        <v>479</v>
      </c>
      <c r="C20" s="1"/>
      <c r="D20" s="1"/>
      <c r="E20" s="1"/>
      <c r="F20" s="21" t="s">
        <v>693</v>
      </c>
      <c r="G20" t="s">
        <v>40</v>
      </c>
      <c r="H20" t="s">
        <v>691</v>
      </c>
      <c r="I20" t="s">
        <v>51</v>
      </c>
      <c r="J20" t="s">
        <v>39</v>
      </c>
      <c r="K20"/>
      <c r="L20" t="s">
        <v>40</v>
      </c>
      <c r="M20" t="s">
        <v>692</v>
      </c>
      <c r="N20" t="s">
        <v>39</v>
      </c>
      <c r="O20" t="s">
        <v>39</v>
      </c>
      <c r="P20" t="s">
        <v>694</v>
      </c>
      <c r="Q20" s="18" t="s">
        <v>345</v>
      </c>
      <c r="R20" t="s">
        <v>217</v>
      </c>
      <c r="S20" t="s">
        <v>51</v>
      </c>
      <c r="T20" s="1" t="s">
        <v>267</v>
      </c>
      <c r="U20" s="1">
        <v>2</v>
      </c>
      <c r="V20" t="s">
        <v>695</v>
      </c>
      <c r="W20" s="21" t="s">
        <v>866</v>
      </c>
      <c r="X20">
        <f>2/3+2/3</f>
        <v>1.3333333333333333</v>
      </c>
      <c r="Y20">
        <f>2/3+2/3</f>
        <v>1.3333333333333333</v>
      </c>
      <c r="Z20" s="1">
        <v>42</v>
      </c>
      <c r="AA20" s="1" t="s">
        <v>690</v>
      </c>
      <c r="AC20" s="2" t="s">
        <v>929</v>
      </c>
    </row>
    <row r="21" spans="1:35" ht="75" customHeight="1">
      <c r="A21" s="4" t="s">
        <v>480</v>
      </c>
      <c r="B21" s="4" t="s">
        <v>128</v>
      </c>
      <c r="C21" s="1">
        <v>4.082808</v>
      </c>
      <c r="D21" s="1">
        <v>10</v>
      </c>
      <c r="E21" s="1">
        <v>2011</v>
      </c>
      <c r="F21" s="21" t="s">
        <v>386</v>
      </c>
      <c r="G21"/>
      <c r="H21" t="s">
        <v>384</v>
      </c>
      <c r="I21" t="s">
        <v>385</v>
      </c>
      <c r="J21" t="s">
        <v>39</v>
      </c>
      <c r="K21" t="s">
        <v>217</v>
      </c>
      <c r="L21" t="s">
        <v>387</v>
      </c>
      <c r="M21" t="s">
        <v>388</v>
      </c>
      <c r="N21" t="s">
        <v>39</v>
      </c>
      <c r="O21" t="s">
        <v>39</v>
      </c>
      <c r="P21" t="s">
        <v>39</v>
      </c>
      <c r="Q21" s="18" t="s">
        <v>345</v>
      </c>
      <c r="R21" t="s">
        <v>217</v>
      </c>
      <c r="S21" t="s">
        <v>389</v>
      </c>
      <c r="T21" s="1" t="s">
        <v>267</v>
      </c>
      <c r="U21" s="1">
        <v>1</v>
      </c>
      <c r="V21" t="s">
        <v>341</v>
      </c>
      <c r="W21" s="41" t="s">
        <v>867</v>
      </c>
      <c r="X21">
        <f>2/3+0.05</f>
        <v>0.71666666666666667</v>
      </c>
      <c r="Y21">
        <f>2/3+0.05</f>
        <v>0.71666666666666667</v>
      </c>
      <c r="Z21" s="1" t="s">
        <v>143</v>
      </c>
      <c r="AA21" s="1" t="s">
        <v>144</v>
      </c>
      <c r="AC21" s="2" t="s">
        <v>930</v>
      </c>
      <c r="AD21" s="2" t="s">
        <v>842</v>
      </c>
    </row>
    <row r="22" spans="1:35" ht="75" customHeight="1">
      <c r="A22" s="4" t="s">
        <v>481</v>
      </c>
      <c r="B22" s="23" t="s">
        <v>91</v>
      </c>
      <c r="C22" s="1">
        <v>4.3098029999999996</v>
      </c>
      <c r="D22" s="1">
        <v>9</v>
      </c>
      <c r="E22" s="1">
        <v>2010</v>
      </c>
      <c r="F22" s="21" t="s">
        <v>847</v>
      </c>
      <c r="G22" t="s">
        <v>40</v>
      </c>
      <c r="H22" t="s">
        <v>845</v>
      </c>
      <c r="I22" t="s">
        <v>51</v>
      </c>
      <c r="J22" t="s">
        <v>39</v>
      </c>
      <c r="K22" t="s">
        <v>217</v>
      </c>
      <c r="L22" t="s">
        <v>40</v>
      </c>
      <c r="M22" t="s">
        <v>846</v>
      </c>
      <c r="N22" t="s">
        <v>39</v>
      </c>
      <c r="O22" t="s">
        <v>39</v>
      </c>
      <c r="P22" t="s">
        <v>39</v>
      </c>
      <c r="Q22" t="s">
        <v>138</v>
      </c>
      <c r="R22" t="s">
        <v>267</v>
      </c>
      <c r="S22" t="s">
        <v>51</v>
      </c>
      <c r="T22" s="6" t="s">
        <v>269</v>
      </c>
      <c r="U22" s="6">
        <f>2/3+0.01</f>
        <v>0.67666666666666664</v>
      </c>
      <c r="V22" t="s">
        <v>341</v>
      </c>
      <c r="W22" s="4" t="s">
        <v>868</v>
      </c>
      <c r="X22" s="8">
        <f>2/3+0.03</f>
        <v>0.69666666666666666</v>
      </c>
      <c r="Y22" s="8">
        <f>2/3+0.03</f>
        <v>0.69666666666666666</v>
      </c>
      <c r="Z22" s="1" t="s">
        <v>844</v>
      </c>
      <c r="AA22" s="1" t="s">
        <v>843</v>
      </c>
    </row>
    <row r="23" spans="1:35" ht="75" customHeight="1">
      <c r="A23" s="4" t="s">
        <v>482</v>
      </c>
      <c r="B23" s="4" t="s">
        <v>83</v>
      </c>
      <c r="C23" s="1">
        <v>4.5086630000000003</v>
      </c>
      <c r="D23" s="1">
        <v>10</v>
      </c>
      <c r="E23" s="1">
        <v>2013</v>
      </c>
      <c r="F23" s="21" t="s">
        <v>390</v>
      </c>
      <c r="G23" t="s">
        <v>40</v>
      </c>
      <c r="H23" t="s">
        <v>391</v>
      </c>
      <c r="I23" s="21" t="s">
        <v>392</v>
      </c>
      <c r="J23" s="21" t="s">
        <v>39</v>
      </c>
      <c r="K23" t="s">
        <v>217</v>
      </c>
      <c r="L23" t="s">
        <v>40</v>
      </c>
      <c r="M23" t="s">
        <v>40</v>
      </c>
      <c r="N23" t="s">
        <v>39</v>
      </c>
      <c r="O23" t="s">
        <v>39</v>
      </c>
      <c r="P23" t="s">
        <v>39</v>
      </c>
      <c r="Q23" s="18" t="s">
        <v>345</v>
      </c>
      <c r="R23" t="s">
        <v>217</v>
      </c>
      <c r="S23" t="s">
        <v>393</v>
      </c>
      <c r="T23" s="6" t="s">
        <v>267</v>
      </c>
      <c r="U23" s="6">
        <v>1</v>
      </c>
      <c r="V23" t="s">
        <v>394</v>
      </c>
      <c r="W23" s="39" t="s">
        <v>904</v>
      </c>
      <c r="X23" s="31">
        <f>2/3*2+0.01</f>
        <v>1.3433333333333333</v>
      </c>
      <c r="Y23" s="31">
        <f>2/3*2+0.01</f>
        <v>1.3433333333333333</v>
      </c>
      <c r="Z23" s="1">
        <v>182</v>
      </c>
      <c r="AA23" s="1" t="s">
        <v>200</v>
      </c>
      <c r="AB23" s="1" t="s">
        <v>246</v>
      </c>
      <c r="AC23" s="6" t="s">
        <v>254</v>
      </c>
    </row>
    <row r="24" spans="1:35" ht="75" customHeight="1">
      <c r="A24" s="10" t="s">
        <v>483</v>
      </c>
      <c r="B24" s="4" t="s">
        <v>5</v>
      </c>
      <c r="C24" s="1"/>
      <c r="D24" s="1">
        <v>1</v>
      </c>
      <c r="E24" s="1">
        <v>2013</v>
      </c>
      <c r="F24" s="21" t="s">
        <v>395</v>
      </c>
      <c r="G24" t="s">
        <v>40</v>
      </c>
      <c r="H24" t="s">
        <v>396</v>
      </c>
      <c r="I24" s="17" t="s">
        <v>364</v>
      </c>
      <c r="J24" t="s">
        <v>364</v>
      </c>
      <c r="K24" t="s">
        <v>267</v>
      </c>
      <c r="L24" t="s">
        <v>849</v>
      </c>
      <c r="M24" t="s">
        <v>40</v>
      </c>
      <c r="N24" t="s">
        <v>39</v>
      </c>
      <c r="O24" t="s">
        <v>39</v>
      </c>
      <c r="P24" t="s">
        <v>39</v>
      </c>
      <c r="Q24" t="s">
        <v>138</v>
      </c>
      <c r="R24" t="s">
        <v>267</v>
      </c>
      <c r="S24" t="s">
        <v>364</v>
      </c>
      <c r="T24" s="1" t="s">
        <v>217</v>
      </c>
      <c r="U24" s="1">
        <v>2</v>
      </c>
      <c r="V24" t="s">
        <v>348</v>
      </c>
      <c r="W24" s="4" t="s">
        <v>869</v>
      </c>
      <c r="X24">
        <f>3/5+0.02</f>
        <v>0.62</v>
      </c>
      <c r="Y24">
        <f>1.5*3/5+0.01</f>
        <v>0.91</v>
      </c>
      <c r="Z24" s="1" t="s">
        <v>58</v>
      </c>
      <c r="AA24" s="1" t="s">
        <v>257</v>
      </c>
    </row>
    <row r="25" spans="1:35" s="6" customFormat="1" ht="75" customHeight="1">
      <c r="A25" s="10" t="s">
        <v>484</v>
      </c>
      <c r="B25" s="4" t="s">
        <v>6</v>
      </c>
      <c r="C25" s="1"/>
      <c r="D25" s="1">
        <v>1</v>
      </c>
      <c r="E25" s="1">
        <v>1953</v>
      </c>
      <c r="F25" s="21" t="s">
        <v>401</v>
      </c>
      <c r="G25" t="s">
        <v>40</v>
      </c>
      <c r="H25" s="16" t="s">
        <v>666</v>
      </c>
      <c r="I25" t="s">
        <v>398</v>
      </c>
      <c r="J25" t="s">
        <v>39</v>
      </c>
      <c r="K25" t="s">
        <v>267</v>
      </c>
      <c r="L25" t="s">
        <v>299</v>
      </c>
      <c r="M25" t="s">
        <v>397</v>
      </c>
      <c r="N25" t="s">
        <v>399</v>
      </c>
      <c r="O25" t="s">
        <v>39</v>
      </c>
      <c r="P25" t="s">
        <v>39</v>
      </c>
      <c r="Q25">
        <v>99</v>
      </c>
      <c r="R25" t="s">
        <v>138</v>
      </c>
      <c r="S25" t="s">
        <v>71</v>
      </c>
      <c r="T25" s="6" t="s">
        <v>267</v>
      </c>
      <c r="U25" s="6">
        <v>3</v>
      </c>
      <c r="V25" t="s">
        <v>400</v>
      </c>
      <c r="W25" s="4" t="s">
        <v>402</v>
      </c>
      <c r="X25">
        <v>1.52</v>
      </c>
      <c r="Y25">
        <v>1.52</v>
      </c>
      <c r="Z25" s="1">
        <v>88</v>
      </c>
      <c r="AA25" s="1" t="s">
        <v>47</v>
      </c>
      <c r="AB25" s="1" t="s">
        <v>247</v>
      </c>
      <c r="AC25" s="2" t="s">
        <v>931</v>
      </c>
      <c r="AD25" s="1"/>
      <c r="AE25" s="1"/>
      <c r="AF25" s="1"/>
      <c r="AG25" s="1"/>
      <c r="AH25" s="1"/>
      <c r="AI25" s="1"/>
    </row>
    <row r="26" spans="1:35" ht="75" customHeight="1">
      <c r="A26" s="4" t="s">
        <v>485</v>
      </c>
      <c r="B26" s="10" t="s">
        <v>129</v>
      </c>
      <c r="C26" s="6">
        <v>3.9884629999999999</v>
      </c>
      <c r="D26" s="6">
        <v>8</v>
      </c>
      <c r="E26" s="6" t="s">
        <v>234</v>
      </c>
      <c r="F26" s="21" t="s">
        <v>412</v>
      </c>
      <c r="G26" s="21" t="s">
        <v>40</v>
      </c>
      <c r="H26" t="s">
        <v>403</v>
      </c>
      <c r="I26">
        <v>0.5</v>
      </c>
      <c r="J26">
        <v>0.5</v>
      </c>
      <c r="K26" t="s">
        <v>138</v>
      </c>
      <c r="L26" t="s">
        <v>406</v>
      </c>
      <c r="M26" t="s">
        <v>408</v>
      </c>
      <c r="N26" t="s">
        <v>409</v>
      </c>
      <c r="O26" t="s">
        <v>39</v>
      </c>
      <c r="P26" t="s">
        <v>39</v>
      </c>
      <c r="Q26" t="s">
        <v>138</v>
      </c>
      <c r="R26" t="s">
        <v>267</v>
      </c>
      <c r="S26" t="s">
        <v>410</v>
      </c>
      <c r="T26" s="6" t="s">
        <v>217</v>
      </c>
      <c r="U26" s="6">
        <v>3</v>
      </c>
      <c r="V26" t="s">
        <v>407</v>
      </c>
      <c r="W26" s="37" t="s">
        <v>411</v>
      </c>
      <c r="X26">
        <f>2/3 + 0.03</f>
        <v>0.69666666666666666</v>
      </c>
      <c r="Y26" s="19"/>
      <c r="Z26" s="6" t="s">
        <v>404</v>
      </c>
      <c r="AA26" s="6" t="s">
        <v>405</v>
      </c>
      <c r="AC26" s="2" t="s">
        <v>932</v>
      </c>
      <c r="AD26" s="6" t="s">
        <v>264</v>
      </c>
      <c r="AE26" s="6"/>
      <c r="AF26" s="6"/>
      <c r="AG26" s="6"/>
      <c r="AH26" s="6"/>
      <c r="AI26" s="6"/>
    </row>
    <row r="27" spans="1:35" s="6" customFormat="1" ht="75" customHeight="1">
      <c r="A27" s="4" t="s">
        <v>486</v>
      </c>
      <c r="B27" s="4" t="s">
        <v>135</v>
      </c>
      <c r="C27" s="1">
        <v>3.2037979999999999</v>
      </c>
      <c r="D27" s="1">
        <v>7</v>
      </c>
      <c r="E27" s="1">
        <v>2002</v>
      </c>
      <c r="F27" s="21" t="s">
        <v>418</v>
      </c>
      <c r="G27" t="s">
        <v>414</v>
      </c>
      <c r="H27" t="s">
        <v>413</v>
      </c>
      <c r="I27" t="s">
        <v>51</v>
      </c>
      <c r="J27" t="s">
        <v>39</v>
      </c>
      <c r="K27" s="16" t="s">
        <v>217</v>
      </c>
      <c r="L27" t="s">
        <v>415</v>
      </c>
      <c r="M27" t="s">
        <v>416</v>
      </c>
      <c r="N27" t="s">
        <v>39</v>
      </c>
      <c r="O27" t="s">
        <v>39</v>
      </c>
      <c r="P27" t="s">
        <v>39</v>
      </c>
      <c r="Q27" s="18" t="s">
        <v>345</v>
      </c>
      <c r="R27" t="s">
        <v>217</v>
      </c>
      <c r="S27" t="s">
        <v>870</v>
      </c>
      <c r="T27" s="6" t="s">
        <v>267</v>
      </c>
      <c r="U27" s="6">
        <v>1</v>
      </c>
      <c r="V27" t="s">
        <v>417</v>
      </c>
      <c r="W27" s="4" t="s">
        <v>933</v>
      </c>
      <c r="X27">
        <f>2/3</f>
        <v>0.66666666666666663</v>
      </c>
      <c r="Y27">
        <f>2/3</f>
        <v>0.66666666666666663</v>
      </c>
      <c r="Z27" s="1" t="s">
        <v>221</v>
      </c>
      <c r="AA27" s="1" t="s">
        <v>222</v>
      </c>
      <c r="AB27" s="1"/>
      <c r="AC27" s="1"/>
      <c r="AD27" s="1"/>
      <c r="AE27" s="1"/>
      <c r="AF27" s="1"/>
      <c r="AG27" s="1"/>
      <c r="AH27" s="1"/>
      <c r="AI27" s="1"/>
    </row>
    <row r="28" spans="1:35" ht="75" customHeight="1">
      <c r="A28" s="25"/>
      <c r="B28" s="10" t="s">
        <v>84</v>
      </c>
      <c r="C28" s="6">
        <v>3.9516939999999998</v>
      </c>
      <c r="D28" s="6">
        <v>7</v>
      </c>
      <c r="E28" s="6" t="s">
        <v>235</v>
      </c>
      <c r="F28" s="21" t="s">
        <v>422</v>
      </c>
      <c r="G28" t="s">
        <v>419</v>
      </c>
      <c r="H28" t="s">
        <v>423</v>
      </c>
      <c r="I28" s="21" t="s">
        <v>424</v>
      </c>
      <c r="J28" s="21" t="s">
        <v>39</v>
      </c>
      <c r="K28" s="16" t="s">
        <v>217</v>
      </c>
      <c r="L28" t="s">
        <v>425</v>
      </c>
      <c r="M28" t="s">
        <v>426</v>
      </c>
      <c r="N28" t="s">
        <v>39</v>
      </c>
      <c r="O28" t="s">
        <v>39</v>
      </c>
      <c r="P28" t="s">
        <v>39</v>
      </c>
      <c r="Q28"/>
      <c r="R28"/>
      <c r="S28" t="s">
        <v>427</v>
      </c>
      <c r="T28" s="6" t="s">
        <v>267</v>
      </c>
      <c r="U28" s="6">
        <v>1</v>
      </c>
      <c r="V28" t="s">
        <v>417</v>
      </c>
      <c r="W28" s="21" t="s">
        <v>428</v>
      </c>
      <c r="X28">
        <f t="shared" ref="X28:Y29" si="0">2/3+0.01</f>
        <v>0.67666666666666664</v>
      </c>
      <c r="Y28">
        <f t="shared" si="0"/>
        <v>0.67666666666666664</v>
      </c>
      <c r="Z28" s="6" t="s">
        <v>420</v>
      </c>
      <c r="AA28" s="6" t="s">
        <v>421</v>
      </c>
      <c r="AB28" s="6"/>
      <c r="AC28" s="6"/>
      <c r="AD28" s="6"/>
      <c r="AE28" s="6"/>
      <c r="AF28" s="6"/>
      <c r="AG28" s="6"/>
      <c r="AH28" s="6"/>
      <c r="AI28" s="6"/>
    </row>
    <row r="29" spans="1:35" ht="75" customHeight="1">
      <c r="A29" s="4" t="s">
        <v>487</v>
      </c>
      <c r="B29" s="4" t="s">
        <v>133</v>
      </c>
      <c r="C29" s="1">
        <v>3.862908</v>
      </c>
      <c r="D29" s="1">
        <v>7</v>
      </c>
      <c r="E29" s="1">
        <v>2003</v>
      </c>
      <c r="F29" s="21" t="s">
        <v>431</v>
      </c>
      <c r="G29" t="s">
        <v>40</v>
      </c>
      <c r="H29" t="s">
        <v>429</v>
      </c>
      <c r="I29" s="24" t="s">
        <v>430</v>
      </c>
      <c r="J29" t="s">
        <v>39</v>
      </c>
      <c r="K29" s="16" t="s">
        <v>217</v>
      </c>
      <c r="L29" t="s">
        <v>40</v>
      </c>
      <c r="M29" t="s">
        <v>40</v>
      </c>
      <c r="N29" t="s">
        <v>39</v>
      </c>
      <c r="O29" t="s">
        <v>39</v>
      </c>
      <c r="P29" t="s">
        <v>39</v>
      </c>
      <c r="Q29" s="18" t="s">
        <v>345</v>
      </c>
      <c r="R29" t="s">
        <v>217</v>
      </c>
      <c r="S29" s="18" t="s">
        <v>51</v>
      </c>
      <c r="T29" s="1" t="s">
        <v>267</v>
      </c>
      <c r="U29" s="1">
        <v>1</v>
      </c>
      <c r="V29" t="s">
        <v>417</v>
      </c>
      <c r="W29" s="4" t="s">
        <v>905</v>
      </c>
      <c r="X29">
        <f t="shared" si="0"/>
        <v>0.67666666666666664</v>
      </c>
      <c r="Y29">
        <f t="shared" si="0"/>
        <v>0.67666666666666664</v>
      </c>
      <c r="Z29" s="1" t="s">
        <v>212</v>
      </c>
      <c r="AA29" s="1" t="s">
        <v>213</v>
      </c>
    </row>
    <row r="30" spans="1:35" ht="75" customHeight="1">
      <c r="A30" s="4" t="s">
        <v>488</v>
      </c>
      <c r="B30" s="4" t="s">
        <v>7</v>
      </c>
      <c r="C30" s="1"/>
      <c r="D30" s="1">
        <v>1</v>
      </c>
      <c r="E30" s="1">
        <v>2003</v>
      </c>
      <c r="F30" s="21" t="s">
        <v>433</v>
      </c>
      <c r="G30" t="s">
        <v>434</v>
      </c>
      <c r="H30" t="s">
        <v>432</v>
      </c>
      <c r="I30"/>
      <c r="J30" t="s">
        <v>39</v>
      </c>
      <c r="K30" s="16" t="s">
        <v>267</v>
      </c>
      <c r="L30" t="s">
        <v>849</v>
      </c>
      <c r="M30" t="s">
        <v>437</v>
      </c>
      <c r="N30" t="s">
        <v>438</v>
      </c>
      <c r="O30" t="s">
        <v>39</v>
      </c>
      <c r="P30" t="s">
        <v>39</v>
      </c>
      <c r="Q30" s="18" t="s">
        <v>436</v>
      </c>
      <c r="R30" t="s">
        <v>217</v>
      </c>
      <c r="S30" s="24" t="s">
        <v>364</v>
      </c>
      <c r="T30" s="1" t="s">
        <v>267</v>
      </c>
      <c r="U30" s="1">
        <v>2</v>
      </c>
      <c r="V30" t="s">
        <v>435</v>
      </c>
      <c r="W30" s="4" t="s">
        <v>934</v>
      </c>
      <c r="X30">
        <f>3/5+0.5+0.01</f>
        <v>1.1100000000000001</v>
      </c>
      <c r="Y30">
        <f>3/5+0.5+0.01</f>
        <v>1.1100000000000001</v>
      </c>
      <c r="Z30" s="1" t="s">
        <v>59</v>
      </c>
      <c r="AA30" s="1" t="s">
        <v>60</v>
      </c>
      <c r="AC30" s="2" t="s">
        <v>935</v>
      </c>
    </row>
    <row r="31" spans="1:35" ht="75" customHeight="1">
      <c r="A31" s="4" t="s">
        <v>489</v>
      </c>
      <c r="B31" s="4" t="s">
        <v>8</v>
      </c>
      <c r="C31" s="1"/>
      <c r="D31" s="1">
        <v>1</v>
      </c>
      <c r="E31" s="1">
        <v>2011</v>
      </c>
      <c r="F31" s="21" t="s">
        <v>440</v>
      </c>
      <c r="G31" t="s">
        <v>40</v>
      </c>
      <c r="H31" t="s">
        <v>40</v>
      </c>
      <c r="I31" s="21" t="s">
        <v>71</v>
      </c>
      <c r="J31" s="21" t="s">
        <v>39</v>
      </c>
      <c r="K31" s="16" t="s">
        <v>217</v>
      </c>
      <c r="L31" t="s">
        <v>40</v>
      </c>
      <c r="M31" t="s">
        <v>40</v>
      </c>
      <c r="N31" t="s">
        <v>439</v>
      </c>
      <c r="O31" t="s">
        <v>39</v>
      </c>
      <c r="P31" t="s">
        <v>39</v>
      </c>
      <c r="Q31" s="18" t="s">
        <v>345</v>
      </c>
      <c r="R31" t="s">
        <v>217</v>
      </c>
      <c r="S31" s="18" t="s">
        <v>439</v>
      </c>
      <c r="T31" s="6" t="s">
        <v>267</v>
      </c>
      <c r="U31" s="6">
        <v>2</v>
      </c>
      <c r="V31" t="s">
        <v>443</v>
      </c>
      <c r="W31" s="4" t="s">
        <v>906</v>
      </c>
      <c r="X31">
        <f>0.5+2/3-0.01</f>
        <v>1.1566666666666665</v>
      </c>
      <c r="Y31">
        <f>0.5+2/3-0.01</f>
        <v>1.1566666666666665</v>
      </c>
      <c r="Z31" s="1" t="s">
        <v>441</v>
      </c>
      <c r="AA31" s="1" t="s">
        <v>442</v>
      </c>
    </row>
    <row r="32" spans="1:35" ht="75" customHeight="1">
      <c r="A32" s="4" t="s">
        <v>490</v>
      </c>
      <c r="B32" s="4" t="s">
        <v>9</v>
      </c>
      <c r="C32" s="1"/>
      <c r="D32" s="1">
        <v>1</v>
      </c>
      <c r="E32" s="1">
        <v>2008</v>
      </c>
      <c r="F32" s="21" t="s">
        <v>445</v>
      </c>
      <c r="G32" t="s">
        <v>40</v>
      </c>
      <c r="H32" t="s">
        <v>444</v>
      </c>
      <c r="I32" s="21" t="s">
        <v>398</v>
      </c>
      <c r="J32" s="21" t="s">
        <v>398</v>
      </c>
      <c r="K32" s="16" t="s">
        <v>217</v>
      </c>
      <c r="L32" t="s">
        <v>446</v>
      </c>
      <c r="M32" t="s">
        <v>321</v>
      </c>
      <c r="N32" t="s">
        <v>39</v>
      </c>
      <c r="O32" t="s">
        <v>39</v>
      </c>
      <c r="P32" t="s">
        <v>39</v>
      </c>
      <c r="Q32" t="s">
        <v>703</v>
      </c>
      <c r="R32" t="s">
        <v>267</v>
      </c>
      <c r="S32" s="18" t="s">
        <v>447</v>
      </c>
      <c r="T32" s="1" t="s">
        <v>217</v>
      </c>
      <c r="U32" s="1">
        <v>3</v>
      </c>
      <c r="V32" t="s">
        <v>323</v>
      </c>
      <c r="W32" s="4" t="s">
        <v>463</v>
      </c>
      <c r="X32">
        <f>0.5+0.5+0.02-0.01</f>
        <v>1.01</v>
      </c>
      <c r="Y32">
        <f>0.5*1.5+0.5</f>
        <v>1.25</v>
      </c>
      <c r="Z32" s="1" t="s">
        <v>449</v>
      </c>
      <c r="AA32" s="1" t="s">
        <v>448</v>
      </c>
    </row>
    <row r="33" spans="1:30" ht="75" customHeight="1">
      <c r="A33" s="4" t="s">
        <v>491</v>
      </c>
      <c r="B33" s="4" t="s">
        <v>85</v>
      </c>
      <c r="C33" s="1">
        <v>3.7627259999999998</v>
      </c>
      <c r="D33" s="1">
        <v>7</v>
      </c>
      <c r="E33" s="1">
        <v>2004</v>
      </c>
      <c r="F33" s="21" t="s">
        <v>453</v>
      </c>
      <c r="G33" t="s">
        <v>40</v>
      </c>
      <c r="H33" t="s">
        <v>451</v>
      </c>
      <c r="I33"/>
      <c r="J33"/>
      <c r="K33" s="16" t="s">
        <v>217</v>
      </c>
      <c r="L33" t="s">
        <v>452</v>
      </c>
      <c r="M33" t="s">
        <v>40</v>
      </c>
      <c r="N33" t="s">
        <v>39</v>
      </c>
      <c r="O33" t="s">
        <v>39</v>
      </c>
      <c r="P33" t="s">
        <v>39</v>
      </c>
      <c r="Q33" t="s">
        <v>138</v>
      </c>
      <c r="R33" t="s">
        <v>267</v>
      </c>
      <c r="S33" s="18" t="s">
        <v>51</v>
      </c>
      <c r="T33" s="1" t="s">
        <v>267</v>
      </c>
      <c r="U33" s="1">
        <v>1</v>
      </c>
      <c r="V33" t="s">
        <v>417</v>
      </c>
      <c r="W33" s="4" t="s">
        <v>871</v>
      </c>
      <c r="X33">
        <f>2/3+0.04</f>
        <v>0.70666666666666667</v>
      </c>
      <c r="Y33">
        <f>2/3+0.04</f>
        <v>0.70666666666666667</v>
      </c>
      <c r="Z33" s="1" t="s">
        <v>194</v>
      </c>
      <c r="AA33" s="1" t="s">
        <v>450</v>
      </c>
    </row>
    <row r="34" spans="1:30" ht="75" customHeight="1">
      <c r="A34" s="4" t="s">
        <v>492</v>
      </c>
      <c r="B34" s="4" t="s">
        <v>30</v>
      </c>
      <c r="C34" s="1"/>
      <c r="D34" s="1">
        <v>1</v>
      </c>
      <c r="E34" s="1">
        <v>2012</v>
      </c>
      <c r="F34" s="21" t="s">
        <v>462</v>
      </c>
      <c r="G34" t="s">
        <v>40</v>
      </c>
      <c r="H34" t="s">
        <v>455</v>
      </c>
      <c r="I34" t="s">
        <v>51</v>
      </c>
      <c r="J34" t="s">
        <v>305</v>
      </c>
      <c r="K34" s="16" t="s">
        <v>267</v>
      </c>
      <c r="L34" t="s">
        <v>849</v>
      </c>
      <c r="M34" t="s">
        <v>40</v>
      </c>
      <c r="N34" t="s">
        <v>39</v>
      </c>
      <c r="O34" t="s">
        <v>39</v>
      </c>
      <c r="P34" t="s">
        <v>39</v>
      </c>
      <c r="Q34">
        <v>99</v>
      </c>
      <c r="R34" t="s">
        <v>138</v>
      </c>
      <c r="S34" t="s">
        <v>454</v>
      </c>
      <c r="T34" s="1" t="s">
        <v>217</v>
      </c>
      <c r="U34" s="1">
        <v>2</v>
      </c>
      <c r="V34" t="s">
        <v>348</v>
      </c>
      <c r="W34" s="41" t="s">
        <v>873</v>
      </c>
      <c r="X34">
        <f>2/3+0.02</f>
        <v>0.68666666666666665</v>
      </c>
      <c r="Y34">
        <f>2/3*1.5+0.01</f>
        <v>1.01</v>
      </c>
      <c r="Z34" s="1">
        <v>79</v>
      </c>
      <c r="AA34" s="1" t="s">
        <v>41</v>
      </c>
      <c r="AB34" s="9"/>
    </row>
    <row r="35" spans="1:30" ht="75" customHeight="1">
      <c r="A35" s="4" t="s">
        <v>493</v>
      </c>
      <c r="B35" s="4" t="s">
        <v>86</v>
      </c>
      <c r="C35" s="1">
        <v>3.4675120000000001</v>
      </c>
      <c r="D35" s="1">
        <v>8</v>
      </c>
      <c r="E35" s="1">
        <v>1996</v>
      </c>
      <c r="F35" s="21" t="s">
        <v>461</v>
      </c>
      <c r="G35" t="s">
        <v>40</v>
      </c>
      <c r="H35" s="16" t="s">
        <v>666</v>
      </c>
      <c r="I35"/>
      <c r="J35" t="s">
        <v>39</v>
      </c>
      <c r="K35" s="16" t="s">
        <v>217</v>
      </c>
      <c r="L35" t="s">
        <v>456</v>
      </c>
      <c r="M35" t="s">
        <v>40</v>
      </c>
      <c r="N35" t="s">
        <v>39</v>
      </c>
      <c r="O35" t="s">
        <v>39</v>
      </c>
      <c r="P35" t="s">
        <v>39</v>
      </c>
      <c r="Q35" s="18" t="s">
        <v>345</v>
      </c>
      <c r="R35" t="s">
        <v>217</v>
      </c>
      <c r="S35" s="18" t="s">
        <v>51</v>
      </c>
      <c r="T35" s="1" t="s">
        <v>267</v>
      </c>
      <c r="U35" s="1">
        <v>1</v>
      </c>
      <c r="V35" s="31" t="s">
        <v>341</v>
      </c>
      <c r="W35" s="32" t="s">
        <v>874</v>
      </c>
      <c r="X35" s="31">
        <f>2/3+0.08</f>
        <v>0.74666666666666659</v>
      </c>
      <c r="Y35" s="31">
        <f>2/3+0.08</f>
        <v>0.74666666666666659</v>
      </c>
      <c r="Z35" s="6" t="s">
        <v>150</v>
      </c>
      <c r="AA35" s="1" t="s">
        <v>151</v>
      </c>
      <c r="AC35" s="2" t="s">
        <v>938</v>
      </c>
    </row>
    <row r="36" spans="1:30" ht="75" customHeight="1">
      <c r="A36" s="4" t="s">
        <v>494</v>
      </c>
      <c r="B36" s="4" t="s">
        <v>10</v>
      </c>
      <c r="C36" s="1"/>
      <c r="D36" s="1">
        <v>1</v>
      </c>
      <c r="E36" s="1">
        <v>2008</v>
      </c>
      <c r="F36" s="21" t="s">
        <v>458</v>
      </c>
      <c r="G36" t="s">
        <v>459</v>
      </c>
      <c r="H36" t="s">
        <v>457</v>
      </c>
      <c r="I36" s="21" t="s">
        <v>55</v>
      </c>
      <c r="J36" s="21" t="s">
        <v>39</v>
      </c>
      <c r="K36" s="16" t="s">
        <v>267</v>
      </c>
      <c r="L36" t="s">
        <v>849</v>
      </c>
      <c r="M36" t="s">
        <v>40</v>
      </c>
      <c r="N36" s="24" t="s">
        <v>436</v>
      </c>
      <c r="O36" t="s">
        <v>39</v>
      </c>
      <c r="P36" t="s">
        <v>39</v>
      </c>
      <c r="Q36">
        <v>99</v>
      </c>
      <c r="R36" t="s">
        <v>267</v>
      </c>
      <c r="S36" t="s">
        <v>364</v>
      </c>
      <c r="T36" s="1" t="s">
        <v>267</v>
      </c>
      <c r="U36" s="1">
        <v>2</v>
      </c>
      <c r="V36" t="s">
        <v>460</v>
      </c>
      <c r="W36" s="4" t="s">
        <v>936</v>
      </c>
      <c r="X36">
        <f>0.51 + 3/5</f>
        <v>1.1099999999999999</v>
      </c>
      <c r="Y36">
        <f>0.5 + 3/5</f>
        <v>1.1000000000000001</v>
      </c>
      <c r="Z36" s="1">
        <v>110</v>
      </c>
      <c r="AA36" s="1" t="s">
        <v>52</v>
      </c>
    </row>
    <row r="37" spans="1:30" ht="75" customHeight="1">
      <c r="A37" s="4" t="s">
        <v>495</v>
      </c>
      <c r="B37" s="4" t="s">
        <v>88</v>
      </c>
      <c r="C37" s="1">
        <v>3.8362799999999999</v>
      </c>
      <c r="D37" s="1">
        <v>8</v>
      </c>
      <c r="E37" s="1">
        <v>1993</v>
      </c>
      <c r="F37" s="21" t="s">
        <v>556</v>
      </c>
      <c r="G37" t="s">
        <v>40</v>
      </c>
      <c r="H37" t="s">
        <v>555</v>
      </c>
      <c r="I37" t="s">
        <v>51</v>
      </c>
      <c r="J37" t="s">
        <v>39</v>
      </c>
      <c r="K37" s="16" t="s">
        <v>217</v>
      </c>
      <c r="L37" t="s">
        <v>40</v>
      </c>
      <c r="M37" t="s">
        <v>321</v>
      </c>
      <c r="N37" t="s">
        <v>39</v>
      </c>
      <c r="O37" t="s">
        <v>39</v>
      </c>
      <c r="P37" t="s">
        <v>39</v>
      </c>
      <c r="Q37" s="18" t="s">
        <v>345</v>
      </c>
      <c r="R37" t="s">
        <v>217</v>
      </c>
      <c r="S37" t="s">
        <v>51</v>
      </c>
      <c r="T37" s="1" t="s">
        <v>267</v>
      </c>
      <c r="U37" s="1">
        <v>2</v>
      </c>
      <c r="V37" t="s">
        <v>435</v>
      </c>
      <c r="W37" s="4" t="s">
        <v>875</v>
      </c>
      <c r="X37">
        <f>2/3+0.5 +0.01</f>
        <v>1.1766666666666665</v>
      </c>
      <c r="Y37">
        <f>2/3+0.5 + 0.01</f>
        <v>1.1766666666666665</v>
      </c>
      <c r="Z37" s="1" t="s">
        <v>214</v>
      </c>
      <c r="AA37" s="1" t="s">
        <v>229</v>
      </c>
      <c r="AC37" s="2" t="s">
        <v>937</v>
      </c>
    </row>
    <row r="38" spans="1:30" s="25" customFormat="1" ht="75" customHeight="1">
      <c r="A38" s="23"/>
      <c r="B38" s="23" t="s">
        <v>87</v>
      </c>
      <c r="C38" s="25">
        <v>3.087164</v>
      </c>
      <c r="D38" s="25">
        <v>6</v>
      </c>
      <c r="E38" s="25">
        <v>1991</v>
      </c>
      <c r="F38" s="26"/>
      <c r="G38" s="27"/>
      <c r="H38" s="27"/>
      <c r="I38" s="27"/>
      <c r="J38" s="27"/>
      <c r="K38" s="28" t="s">
        <v>267</v>
      </c>
      <c r="L38" s="27"/>
      <c r="M38" s="27"/>
      <c r="N38" s="27"/>
      <c r="O38" s="27"/>
      <c r="P38" s="27"/>
      <c r="Q38" s="27"/>
      <c r="R38" s="27"/>
      <c r="S38" s="27"/>
      <c r="T38" s="25" t="s">
        <v>267</v>
      </c>
      <c r="V38" s="27"/>
      <c r="W38" s="26"/>
      <c r="X38" s="27"/>
      <c r="Y38" s="27"/>
      <c r="Z38" s="25" t="s">
        <v>164</v>
      </c>
      <c r="AA38" s="25" t="s">
        <v>165</v>
      </c>
    </row>
    <row r="39" spans="1:30" ht="75" customHeight="1">
      <c r="A39" s="4" t="s">
        <v>496</v>
      </c>
      <c r="B39" s="4" t="s">
        <v>89</v>
      </c>
      <c r="C39" s="1">
        <v>3.7326299999999999</v>
      </c>
      <c r="D39" s="1">
        <v>6</v>
      </c>
      <c r="E39" s="1">
        <v>1995</v>
      </c>
      <c r="F39" s="21" t="s">
        <v>559</v>
      </c>
      <c r="G39" t="s">
        <v>40</v>
      </c>
      <c r="H39" s="16" t="s">
        <v>666</v>
      </c>
      <c r="I39" t="s">
        <v>71</v>
      </c>
      <c r="J39" t="s">
        <v>39</v>
      </c>
      <c r="K39" s="16" t="s">
        <v>217</v>
      </c>
      <c r="L39" t="s">
        <v>456</v>
      </c>
      <c r="M39" t="s">
        <v>562</v>
      </c>
      <c r="N39" t="s">
        <v>39</v>
      </c>
      <c r="O39" t="s">
        <v>39</v>
      </c>
      <c r="P39" t="s">
        <v>39</v>
      </c>
      <c r="Q39" t="s">
        <v>138</v>
      </c>
      <c r="R39" t="s">
        <v>267</v>
      </c>
      <c r="S39" t="s">
        <v>560</v>
      </c>
      <c r="T39" s="1" t="s">
        <v>267</v>
      </c>
      <c r="U39" s="1">
        <v>2</v>
      </c>
      <c r="V39" t="s">
        <v>435</v>
      </c>
      <c r="W39" s="4" t="s">
        <v>907</v>
      </c>
      <c r="X39">
        <f>0.5+0.5+0.02</f>
        <v>1.02</v>
      </c>
      <c r="Y39">
        <f>1.02</f>
        <v>1.02</v>
      </c>
      <c r="Z39" s="1" t="s">
        <v>558</v>
      </c>
      <c r="AA39" s="1" t="s">
        <v>557</v>
      </c>
      <c r="AB39" s="1" t="s">
        <v>561</v>
      </c>
    </row>
    <row r="40" spans="1:30" s="25" customFormat="1" ht="75" customHeight="1">
      <c r="A40" s="23"/>
      <c r="B40" s="23" t="s">
        <v>92</v>
      </c>
      <c r="C40" s="25">
        <v>3.1999179999999998</v>
      </c>
      <c r="D40" s="25">
        <v>5</v>
      </c>
      <c r="E40" s="25">
        <v>2012</v>
      </c>
      <c r="F40" s="26"/>
      <c r="G40" s="27"/>
      <c r="H40" s="27"/>
      <c r="I40" s="27"/>
      <c r="J40" s="27"/>
      <c r="K40" s="28" t="s">
        <v>217</v>
      </c>
      <c r="L40" s="27"/>
      <c r="M40" s="27"/>
      <c r="N40" s="27"/>
      <c r="O40" s="27"/>
      <c r="P40" s="27"/>
      <c r="Q40" s="27"/>
      <c r="R40" s="27"/>
      <c r="S40" s="27"/>
      <c r="T40" s="29" t="s">
        <v>217</v>
      </c>
      <c r="U40" s="29"/>
      <c r="V40" s="27"/>
      <c r="W40" s="26"/>
      <c r="X40" s="27"/>
      <c r="Y40" s="27"/>
      <c r="Z40" s="25" t="s">
        <v>181</v>
      </c>
      <c r="AA40" s="25" t="s">
        <v>182</v>
      </c>
    </row>
    <row r="41" spans="1:30" ht="123" customHeight="1">
      <c r="A41" s="4" t="s">
        <v>497</v>
      </c>
      <c r="B41" s="4" t="s">
        <v>90</v>
      </c>
      <c r="C41" s="1">
        <v>3.63063</v>
      </c>
      <c r="D41" s="1">
        <v>7</v>
      </c>
      <c r="E41" s="1">
        <v>2013</v>
      </c>
      <c r="F41" s="21" t="s">
        <v>568</v>
      </c>
      <c r="G41" t="s">
        <v>40</v>
      </c>
      <c r="H41" t="s">
        <v>567</v>
      </c>
      <c r="I41" t="s">
        <v>51</v>
      </c>
      <c r="J41" t="s">
        <v>39</v>
      </c>
      <c r="K41" s="16" t="s">
        <v>217</v>
      </c>
      <c r="L41" t="s">
        <v>565</v>
      </c>
      <c r="M41" t="s">
        <v>566</v>
      </c>
      <c r="N41" t="s">
        <v>39</v>
      </c>
      <c r="O41" t="s">
        <v>39</v>
      </c>
      <c r="P41" t="s">
        <v>39</v>
      </c>
      <c r="Q41" s="18" t="s">
        <v>345</v>
      </c>
      <c r="R41" t="s">
        <v>217</v>
      </c>
      <c r="S41" s="38" t="s">
        <v>51</v>
      </c>
      <c r="T41" s="1" t="s">
        <v>267</v>
      </c>
      <c r="U41" s="1">
        <v>1</v>
      </c>
      <c r="V41" t="s">
        <v>417</v>
      </c>
      <c r="W41" s="42" t="s">
        <v>908</v>
      </c>
      <c r="X41">
        <f>2/3+0.01</f>
        <v>0.67666666666666664</v>
      </c>
      <c r="Y41">
        <f>2/3+0.01</f>
        <v>0.67666666666666664</v>
      </c>
      <c r="Z41" s="6" t="s">
        <v>569</v>
      </c>
      <c r="AA41" s="1" t="s">
        <v>224</v>
      </c>
      <c r="AC41" s="2" t="s">
        <v>564</v>
      </c>
      <c r="AD41" s="2" t="s">
        <v>939</v>
      </c>
    </row>
    <row r="42" spans="1:30" s="6" customFormat="1" ht="103.95" customHeight="1">
      <c r="A42" s="10" t="s">
        <v>498</v>
      </c>
      <c r="B42" s="10" t="s">
        <v>11</v>
      </c>
      <c r="D42" s="31"/>
      <c r="E42" s="31"/>
      <c r="F42" s="32" t="s">
        <v>696</v>
      </c>
      <c r="G42" s="31" t="s">
        <v>40</v>
      </c>
      <c r="H42" s="31" t="s">
        <v>570</v>
      </c>
      <c r="I42" s="31" t="s">
        <v>51</v>
      </c>
      <c r="J42" s="31" t="s">
        <v>39</v>
      </c>
      <c r="K42" s="33" t="s">
        <v>267</v>
      </c>
      <c r="L42" s="31" t="s">
        <v>850</v>
      </c>
      <c r="M42" s="31" t="s">
        <v>571</v>
      </c>
      <c r="N42" s="31" t="s">
        <v>39</v>
      </c>
      <c r="O42" s="31" t="s">
        <v>39</v>
      </c>
      <c r="P42" s="31" t="s">
        <v>39</v>
      </c>
      <c r="Q42" s="34" t="s">
        <v>345</v>
      </c>
      <c r="R42" s="27" t="s">
        <v>217</v>
      </c>
      <c r="S42" s="31" t="s">
        <v>51</v>
      </c>
      <c r="T42" s="6" t="s">
        <v>267</v>
      </c>
      <c r="U42" s="6">
        <v>1</v>
      </c>
      <c r="V42" s="31" t="s">
        <v>417</v>
      </c>
      <c r="W42" s="10" t="s">
        <v>876</v>
      </c>
      <c r="X42" s="31">
        <f>2/3+0.02</f>
        <v>0.68666666666666665</v>
      </c>
      <c r="Y42" s="31">
        <f>2/3+0.02</f>
        <v>0.68666666666666665</v>
      </c>
      <c r="Z42" s="6" t="s">
        <v>258</v>
      </c>
      <c r="AA42" s="6" t="s">
        <v>940</v>
      </c>
      <c r="AC42" s="2" t="s">
        <v>572</v>
      </c>
      <c r="AD42" s="6" t="s">
        <v>941</v>
      </c>
    </row>
    <row r="43" spans="1:30" ht="75" customHeight="1">
      <c r="A43" s="4" t="s">
        <v>499</v>
      </c>
      <c r="B43" s="4" t="s">
        <v>12</v>
      </c>
      <c r="C43" s="1"/>
      <c r="D43" s="1">
        <v>1</v>
      </c>
      <c r="E43" s="1">
        <v>1999</v>
      </c>
      <c r="F43" s="21" t="s">
        <v>573</v>
      </c>
      <c r="G43" t="s">
        <v>40</v>
      </c>
      <c r="H43" s="31" t="s">
        <v>391</v>
      </c>
      <c r="I43" s="32" t="s">
        <v>398</v>
      </c>
      <c r="J43" s="32" t="s">
        <v>39</v>
      </c>
      <c r="K43" s="16" t="s">
        <v>217</v>
      </c>
      <c r="L43" s="31" t="s">
        <v>576</v>
      </c>
      <c r="M43" s="31" t="s">
        <v>575</v>
      </c>
      <c r="N43" s="31" t="s">
        <v>399</v>
      </c>
      <c r="O43" s="31" t="s">
        <v>39</v>
      </c>
      <c r="P43" s="31" t="s">
        <v>39</v>
      </c>
      <c r="Q43">
        <v>99</v>
      </c>
      <c r="R43" t="s">
        <v>138</v>
      </c>
      <c r="S43" t="s">
        <v>574</v>
      </c>
      <c r="T43" s="6" t="s">
        <v>267</v>
      </c>
      <c r="U43" s="6">
        <v>2</v>
      </c>
      <c r="V43" s="31" t="s">
        <v>460</v>
      </c>
      <c r="W43" s="10" t="s">
        <v>856</v>
      </c>
      <c r="X43">
        <f>1+0.01</f>
        <v>1.01</v>
      </c>
      <c r="Y43">
        <f>1+0.01</f>
        <v>1.01</v>
      </c>
      <c r="Z43" s="1">
        <v>79</v>
      </c>
      <c r="AA43" s="1" t="s">
        <v>61</v>
      </c>
      <c r="AB43" s="1" t="s">
        <v>248</v>
      </c>
    </row>
    <row r="44" spans="1:30" ht="75" customHeight="1">
      <c r="A44" s="4" t="s">
        <v>500</v>
      </c>
      <c r="B44" s="4" t="s">
        <v>94</v>
      </c>
      <c r="C44" s="1">
        <v>3.6237509999999999</v>
      </c>
      <c r="D44" s="1">
        <v>9</v>
      </c>
      <c r="E44" s="1">
        <v>2012</v>
      </c>
      <c r="F44" s="21" t="s">
        <v>579</v>
      </c>
      <c r="G44" t="s">
        <v>40</v>
      </c>
      <c r="H44" s="16" t="s">
        <v>666</v>
      </c>
      <c r="I44" s="31" t="s">
        <v>577</v>
      </c>
      <c r="J44" s="31" t="s">
        <v>577</v>
      </c>
      <c r="K44" s="16" t="s">
        <v>267</v>
      </c>
      <c r="L44" s="31" t="s">
        <v>851</v>
      </c>
      <c r="M44" s="31" t="s">
        <v>40</v>
      </c>
      <c r="N44" s="31" t="s">
        <v>39</v>
      </c>
      <c r="O44" s="31" t="s">
        <v>39</v>
      </c>
      <c r="P44" s="31" t="s">
        <v>578</v>
      </c>
      <c r="Q44" t="s">
        <v>582</v>
      </c>
      <c r="R44" s="31" t="s">
        <v>217</v>
      </c>
      <c r="S44" t="s">
        <v>581</v>
      </c>
      <c r="T44" s="1" t="s">
        <v>217</v>
      </c>
      <c r="U44" s="1">
        <v>2</v>
      </c>
      <c r="V44" s="31" t="s">
        <v>348</v>
      </c>
      <c r="W44" s="10" t="s">
        <v>766</v>
      </c>
      <c r="X44">
        <f>0.51+0.02</f>
        <v>0.53</v>
      </c>
      <c r="Y44">
        <f>1.5*0.51+0.01</f>
        <v>0.77500000000000002</v>
      </c>
      <c r="Z44" s="1">
        <v>368</v>
      </c>
      <c r="AA44" s="1" t="s">
        <v>145</v>
      </c>
    </row>
    <row r="45" spans="1:30" ht="75" customHeight="1">
      <c r="A45" s="4" t="s">
        <v>501</v>
      </c>
      <c r="B45" s="4" t="s">
        <v>93</v>
      </c>
      <c r="C45" s="1">
        <v>3.8790209999999998</v>
      </c>
      <c r="D45" s="1">
        <v>8</v>
      </c>
      <c r="E45" s="1">
        <v>2002</v>
      </c>
      <c r="F45" s="21" t="s">
        <v>580</v>
      </c>
      <c r="G45" t="s">
        <v>40</v>
      </c>
      <c r="H45" s="31" t="s">
        <v>671</v>
      </c>
      <c r="I45" s="32" t="s">
        <v>577</v>
      </c>
      <c r="J45" s="32" t="s">
        <v>577</v>
      </c>
      <c r="K45" s="16" t="s">
        <v>217</v>
      </c>
      <c r="L45" s="31" t="s">
        <v>40</v>
      </c>
      <c r="M45" s="31" t="s">
        <v>40</v>
      </c>
      <c r="N45" s="31" t="s">
        <v>39</v>
      </c>
      <c r="O45" s="31" t="s">
        <v>39</v>
      </c>
      <c r="P45" s="31" t="s">
        <v>39</v>
      </c>
      <c r="Q45" t="s">
        <v>582</v>
      </c>
      <c r="R45" s="31" t="s">
        <v>217</v>
      </c>
      <c r="S45" t="s">
        <v>581</v>
      </c>
      <c r="T45" s="8" t="s">
        <v>217</v>
      </c>
      <c r="U45" s="1">
        <v>2</v>
      </c>
      <c r="V45" s="31" t="s">
        <v>348</v>
      </c>
      <c r="W45" s="10" t="s">
        <v>586</v>
      </c>
      <c r="X45">
        <f>0.5+0.02</f>
        <v>0.52</v>
      </c>
      <c r="Y45">
        <f>1.5*0.5+0.01</f>
        <v>0.76</v>
      </c>
      <c r="Z45" s="1">
        <v>37</v>
      </c>
      <c r="AA45" s="1" t="s">
        <v>153</v>
      </c>
    </row>
    <row r="46" spans="1:30" ht="75" customHeight="1">
      <c r="A46" s="4" t="s">
        <v>502</v>
      </c>
      <c r="B46" s="4" t="s">
        <v>13</v>
      </c>
      <c r="C46" s="1"/>
      <c r="D46" s="1">
        <v>1</v>
      </c>
      <c r="E46" s="1">
        <v>2012</v>
      </c>
      <c r="F46" s="21" t="s">
        <v>585</v>
      </c>
      <c r="G46" t="s">
        <v>40</v>
      </c>
      <c r="H46" s="31" t="s">
        <v>583</v>
      </c>
      <c r="I46" s="31" t="s">
        <v>398</v>
      </c>
      <c r="J46" s="31" t="s">
        <v>398</v>
      </c>
      <c r="K46" s="16" t="s">
        <v>217</v>
      </c>
      <c r="L46" s="31" t="s">
        <v>452</v>
      </c>
      <c r="M46" t="s">
        <v>584</v>
      </c>
      <c r="N46" s="31" t="s">
        <v>39</v>
      </c>
      <c r="O46" s="31" t="s">
        <v>39</v>
      </c>
      <c r="P46" s="31" t="s">
        <v>39</v>
      </c>
      <c r="Q46" s="31" t="s">
        <v>71</v>
      </c>
      <c r="R46" s="31" t="s">
        <v>217</v>
      </c>
      <c r="S46" t="s">
        <v>71</v>
      </c>
      <c r="T46" s="6" t="s">
        <v>217</v>
      </c>
      <c r="U46" s="6">
        <v>3</v>
      </c>
      <c r="V46" s="31" t="s">
        <v>323</v>
      </c>
      <c r="W46" s="10" t="s">
        <v>857</v>
      </c>
      <c r="X46">
        <f>1+0.02</f>
        <v>1.02</v>
      </c>
      <c r="Y46">
        <f>1.5*0.5+0.5+0.01</f>
        <v>1.26</v>
      </c>
      <c r="Z46" s="1" t="s">
        <v>53</v>
      </c>
      <c r="AA46" s="1" t="s">
        <v>228</v>
      </c>
    </row>
    <row r="47" spans="1:30" ht="75" customHeight="1">
      <c r="A47" s="10" t="s">
        <v>503</v>
      </c>
      <c r="B47" s="4" t="s">
        <v>27</v>
      </c>
      <c r="C47" s="1"/>
      <c r="D47" s="1">
        <v>1</v>
      </c>
      <c r="E47" s="1">
        <v>2012</v>
      </c>
      <c r="F47" s="21" t="s">
        <v>589</v>
      </c>
      <c r="G47"/>
      <c r="H47" s="31" t="s">
        <v>296</v>
      </c>
      <c r="I47" s="32" t="s">
        <v>55</v>
      </c>
      <c r="J47" s="32" t="s">
        <v>55</v>
      </c>
      <c r="K47" s="16" t="s">
        <v>267</v>
      </c>
      <c r="L47" s="16" t="s">
        <v>849</v>
      </c>
      <c r="M47" s="1" t="s">
        <v>588</v>
      </c>
      <c r="N47" s="31" t="s">
        <v>39</v>
      </c>
      <c r="O47" s="31" t="s">
        <v>39</v>
      </c>
      <c r="P47" s="31" t="s">
        <v>39</v>
      </c>
      <c r="Q47" s="31" t="s">
        <v>71</v>
      </c>
      <c r="R47" s="31" t="s">
        <v>590</v>
      </c>
      <c r="S47" s="31" t="s">
        <v>55</v>
      </c>
      <c r="T47" s="1" t="s">
        <v>217</v>
      </c>
      <c r="U47" s="1">
        <v>3</v>
      </c>
      <c r="V47" s="31" t="s">
        <v>323</v>
      </c>
      <c r="W47" s="10" t="s">
        <v>587</v>
      </c>
      <c r="X47">
        <f>0.51+0.03-0.01</f>
        <v>0.53</v>
      </c>
      <c r="Y47">
        <f>0.51*1.5+0.02-0.01</f>
        <v>0.77500000000000002</v>
      </c>
      <c r="Z47" s="1" t="s">
        <v>46</v>
      </c>
      <c r="AA47" s="1" t="s">
        <v>42</v>
      </c>
      <c r="AB47" s="1" t="s">
        <v>249</v>
      </c>
    </row>
    <row r="48" spans="1:30" ht="75" customHeight="1">
      <c r="A48" s="10" t="s">
        <v>504</v>
      </c>
      <c r="B48" s="10" t="s">
        <v>95</v>
      </c>
      <c r="C48" s="1">
        <v>3.9406330000000001</v>
      </c>
      <c r="D48" s="1">
        <v>9</v>
      </c>
      <c r="E48" s="1">
        <v>1994</v>
      </c>
      <c r="F48" s="21" t="s">
        <v>840</v>
      </c>
      <c r="G48" t="s">
        <v>40</v>
      </c>
      <c r="H48" s="31" t="s">
        <v>700</v>
      </c>
      <c r="I48" s="32" t="s">
        <v>560</v>
      </c>
      <c r="J48" s="32" t="s">
        <v>560</v>
      </c>
      <c r="K48" s="16" t="s">
        <v>138</v>
      </c>
      <c r="L48" s="31" t="s">
        <v>40</v>
      </c>
      <c r="M48" t="s">
        <v>841</v>
      </c>
      <c r="N48" s="31" t="s">
        <v>39</v>
      </c>
      <c r="O48" s="31" t="s">
        <v>39</v>
      </c>
      <c r="P48" s="31" t="s">
        <v>39</v>
      </c>
      <c r="Q48">
        <v>99</v>
      </c>
      <c r="R48" s="31" t="s">
        <v>267</v>
      </c>
      <c r="S48" s="31" t="s">
        <v>560</v>
      </c>
      <c r="T48" s="1" t="s">
        <v>217</v>
      </c>
      <c r="U48" s="1">
        <v>2</v>
      </c>
      <c r="V48" s="31" t="s">
        <v>348</v>
      </c>
      <c r="W48" s="4" t="s">
        <v>909</v>
      </c>
      <c r="X48">
        <v>0.52</v>
      </c>
      <c r="Y48">
        <f>1.5*0.5 +0.01</f>
        <v>0.76</v>
      </c>
      <c r="Z48" s="1">
        <v>49</v>
      </c>
      <c r="AA48" s="1" t="s">
        <v>203</v>
      </c>
    </row>
    <row r="49" spans="1:35" s="6" customFormat="1" ht="75" customHeight="1">
      <c r="A49" s="4" t="s">
        <v>505</v>
      </c>
      <c r="B49" s="4" t="s">
        <v>14</v>
      </c>
      <c r="C49" s="1"/>
      <c r="D49" s="1">
        <v>1</v>
      </c>
      <c r="E49" s="1">
        <v>1946</v>
      </c>
      <c r="F49" s="21" t="s">
        <v>591</v>
      </c>
      <c r="G49" t="s">
        <v>40</v>
      </c>
      <c r="H49" s="16" t="s">
        <v>666</v>
      </c>
      <c r="I49" s="32" t="s">
        <v>51</v>
      </c>
      <c r="J49" s="32" t="s">
        <v>51</v>
      </c>
      <c r="K49" s="16" t="s">
        <v>267</v>
      </c>
      <c r="L49" t="s">
        <v>40</v>
      </c>
      <c r="M49" t="s">
        <v>584</v>
      </c>
      <c r="N49" t="s">
        <v>39</v>
      </c>
      <c r="O49" t="s">
        <v>39</v>
      </c>
      <c r="P49" t="s">
        <v>39</v>
      </c>
      <c r="Q49" t="s">
        <v>592</v>
      </c>
      <c r="R49" t="s">
        <v>590</v>
      </c>
      <c r="S49" t="s">
        <v>51</v>
      </c>
      <c r="T49" s="1" t="s">
        <v>217</v>
      </c>
      <c r="U49" s="1">
        <v>3</v>
      </c>
      <c r="V49" t="s">
        <v>323</v>
      </c>
      <c r="W49" s="4" t="s">
        <v>877</v>
      </c>
      <c r="X49">
        <f>2/3+0.5+0.02</f>
        <v>1.1866666666666665</v>
      </c>
      <c r="Y49">
        <f>2/3*1.5+0.5+0.01</f>
        <v>1.51</v>
      </c>
      <c r="Z49" s="1">
        <v>96</v>
      </c>
      <c r="AA49" s="1" t="s">
        <v>62</v>
      </c>
      <c r="AB49" s="1"/>
      <c r="AC49" s="1"/>
      <c r="AD49" s="1"/>
      <c r="AE49" s="1"/>
      <c r="AF49" s="1"/>
      <c r="AG49" s="1"/>
      <c r="AH49" s="1"/>
      <c r="AI49" s="1"/>
    </row>
    <row r="50" spans="1:35" ht="75" customHeight="1">
      <c r="A50" s="4" t="s">
        <v>506</v>
      </c>
      <c r="B50" s="10" t="s">
        <v>96</v>
      </c>
      <c r="C50" s="6">
        <v>3.3094600000000001</v>
      </c>
      <c r="D50" s="6">
        <v>8</v>
      </c>
      <c r="E50" s="6" t="s">
        <v>234</v>
      </c>
      <c r="F50" s="21" t="s">
        <v>598</v>
      </c>
      <c r="G50" t="s">
        <v>40</v>
      </c>
      <c r="H50" t="s">
        <v>670</v>
      </c>
      <c r="I50" t="s">
        <v>51</v>
      </c>
      <c r="J50" t="s">
        <v>51</v>
      </c>
      <c r="K50" s="16" t="s">
        <v>217</v>
      </c>
      <c r="L50" t="s">
        <v>595</v>
      </c>
      <c r="M50" t="s">
        <v>596</v>
      </c>
      <c r="N50" t="s">
        <v>39</v>
      </c>
      <c r="O50" t="s">
        <v>39</v>
      </c>
      <c r="P50" t="s">
        <v>597</v>
      </c>
      <c r="Q50"/>
      <c r="R50" t="s">
        <v>599</v>
      </c>
      <c r="S50" t="s">
        <v>51</v>
      </c>
      <c r="T50" s="6" t="s">
        <v>217</v>
      </c>
      <c r="U50" s="6">
        <v>2</v>
      </c>
      <c r="V50" t="s">
        <v>348</v>
      </c>
      <c r="W50" s="4" t="s">
        <v>878</v>
      </c>
      <c r="X50">
        <f>2/3+0.06</f>
        <v>0.72666666666666657</v>
      </c>
      <c r="Y50">
        <f>2/3*1.5+0.05</f>
        <v>1.05</v>
      </c>
      <c r="Z50" s="6" t="s">
        <v>593</v>
      </c>
      <c r="AA50" s="6" t="s">
        <v>594</v>
      </c>
      <c r="AB50" s="6"/>
      <c r="AC50" s="6"/>
      <c r="AD50" s="6"/>
      <c r="AE50" s="6"/>
      <c r="AF50" s="6"/>
      <c r="AG50" s="6"/>
      <c r="AH50" s="6"/>
      <c r="AI50" s="6"/>
    </row>
    <row r="51" spans="1:35" ht="75" customHeight="1">
      <c r="A51" s="4" t="s">
        <v>507</v>
      </c>
      <c r="B51" s="4" t="s">
        <v>15</v>
      </c>
      <c r="C51" s="1"/>
      <c r="D51" s="1">
        <v>1</v>
      </c>
      <c r="E51" s="1">
        <v>1998</v>
      </c>
      <c r="F51" s="21" t="s">
        <v>605</v>
      </c>
      <c r="G51" t="s">
        <v>40</v>
      </c>
      <c r="H51" t="s">
        <v>602</v>
      </c>
      <c r="I51" s="32" t="s">
        <v>51</v>
      </c>
      <c r="J51" s="32" t="s">
        <v>39</v>
      </c>
      <c r="K51" s="16" t="s">
        <v>217</v>
      </c>
      <c r="L51" t="s">
        <v>604</v>
      </c>
      <c r="M51" t="s">
        <v>603</v>
      </c>
      <c r="N51" t="s">
        <v>39</v>
      </c>
      <c r="O51" t="s">
        <v>39</v>
      </c>
      <c r="P51" t="s">
        <v>39</v>
      </c>
      <c r="Q51" s="18" t="s">
        <v>345</v>
      </c>
      <c r="R51" t="s">
        <v>217</v>
      </c>
      <c r="S51" t="s">
        <v>51</v>
      </c>
      <c r="T51" s="1" t="s">
        <v>267</v>
      </c>
      <c r="U51" s="2" t="s">
        <v>285</v>
      </c>
      <c r="V51" s="19" t="s">
        <v>435</v>
      </c>
      <c r="W51" s="4" t="s">
        <v>945</v>
      </c>
      <c r="X51">
        <f>2/3 + 0.5 +0.04</f>
        <v>1.2066666666666666</v>
      </c>
      <c r="Y51">
        <f>2/3 + 0.5 +0.04</f>
        <v>1.2066666666666666</v>
      </c>
      <c r="Z51" s="1" t="s">
        <v>600</v>
      </c>
      <c r="AA51" s="1" t="s">
        <v>601</v>
      </c>
      <c r="AC51" s="2" t="s">
        <v>944</v>
      </c>
    </row>
    <row r="52" spans="1:35" ht="75" customHeight="1">
      <c r="A52" s="4" t="s">
        <v>508</v>
      </c>
      <c r="C52" s="1"/>
      <c r="D52" s="1"/>
      <c r="E52" s="1"/>
      <c r="F52" s="21" t="s">
        <v>610</v>
      </c>
      <c r="G52" t="s">
        <v>40</v>
      </c>
      <c r="H52" t="s">
        <v>669</v>
      </c>
      <c r="I52" t="s">
        <v>430</v>
      </c>
      <c r="J52" t="s">
        <v>39</v>
      </c>
      <c r="K52" s="16" t="s">
        <v>217</v>
      </c>
      <c r="L52" t="s">
        <v>612</v>
      </c>
      <c r="M52" t="s">
        <v>609</v>
      </c>
      <c r="N52" t="s">
        <v>39</v>
      </c>
      <c r="O52" t="s">
        <v>39</v>
      </c>
      <c r="P52" t="s">
        <v>39</v>
      </c>
      <c r="Q52" t="s">
        <v>51</v>
      </c>
      <c r="R52" t="s">
        <v>217</v>
      </c>
      <c r="S52" t="s">
        <v>51</v>
      </c>
      <c r="T52" s="9" t="s">
        <v>608</v>
      </c>
      <c r="U52" s="1">
        <v>1</v>
      </c>
      <c r="V52" t="s">
        <v>417</v>
      </c>
      <c r="W52" s="21" t="s">
        <v>879</v>
      </c>
      <c r="X52">
        <f>2/3+0.05</f>
        <v>0.71666666666666667</v>
      </c>
      <c r="Y52">
        <f>2/3+0.05</f>
        <v>0.71666666666666667</v>
      </c>
      <c r="Z52" s="1" t="s">
        <v>607</v>
      </c>
      <c r="AA52" s="1" t="s">
        <v>606</v>
      </c>
      <c r="AC52" s="2" t="s">
        <v>942</v>
      </c>
      <c r="AD52" s="2" t="s">
        <v>943</v>
      </c>
    </row>
    <row r="53" spans="1:35" ht="75" customHeight="1">
      <c r="A53" s="4" t="s">
        <v>509</v>
      </c>
      <c r="B53" s="4" t="s">
        <v>101</v>
      </c>
      <c r="C53" s="1">
        <v>4.3081250000000004</v>
      </c>
      <c r="D53" s="1">
        <v>8</v>
      </c>
      <c r="E53" s="1">
        <v>2007</v>
      </c>
      <c r="F53" s="21" t="s">
        <v>615</v>
      </c>
      <c r="G53" t="s">
        <v>40</v>
      </c>
      <c r="H53" t="s">
        <v>668</v>
      </c>
      <c r="I53" s="32" t="s">
        <v>611</v>
      </c>
      <c r="J53" s="32" t="s">
        <v>39</v>
      </c>
      <c r="K53" s="16" t="s">
        <v>267</v>
      </c>
      <c r="L53" s="16" t="s">
        <v>849</v>
      </c>
      <c r="M53" t="s">
        <v>616</v>
      </c>
      <c r="N53" t="s">
        <v>39</v>
      </c>
      <c r="O53" t="s">
        <v>39</v>
      </c>
      <c r="P53" t="s">
        <v>39</v>
      </c>
      <c r="Q53" t="s">
        <v>51</v>
      </c>
      <c r="R53" t="s">
        <v>217</v>
      </c>
      <c r="S53" t="s">
        <v>613</v>
      </c>
      <c r="T53" s="1" t="s">
        <v>267</v>
      </c>
      <c r="U53" s="1">
        <v>1</v>
      </c>
      <c r="V53" t="s">
        <v>417</v>
      </c>
      <c r="W53" s="4" t="s">
        <v>614</v>
      </c>
      <c r="X53">
        <f>2/3+0.02</f>
        <v>0.68666666666666665</v>
      </c>
      <c r="Y53">
        <f>2/3+0.02</f>
        <v>0.68666666666666665</v>
      </c>
      <c r="Z53" s="1" t="s">
        <v>154</v>
      </c>
      <c r="AA53" s="1" t="s">
        <v>230</v>
      </c>
    </row>
    <row r="54" spans="1:35" ht="75" customHeight="1">
      <c r="A54" s="4" t="s">
        <v>510</v>
      </c>
      <c r="B54" s="4" t="s">
        <v>97</v>
      </c>
      <c r="C54" s="1">
        <v>4.1640459999999999</v>
      </c>
      <c r="D54" s="1">
        <v>6</v>
      </c>
      <c r="E54" s="1">
        <v>2004</v>
      </c>
      <c r="F54" s="21" t="s">
        <v>622</v>
      </c>
      <c r="G54" t="s">
        <v>40</v>
      </c>
      <c r="H54" t="s">
        <v>619</v>
      </c>
      <c r="I54" s="17" t="s">
        <v>51</v>
      </c>
      <c r="J54" t="s">
        <v>39</v>
      </c>
      <c r="K54" s="16" t="s">
        <v>267</v>
      </c>
      <c r="L54" t="s">
        <v>852</v>
      </c>
      <c r="M54" t="s">
        <v>40</v>
      </c>
      <c r="N54" t="s">
        <v>39</v>
      </c>
      <c r="O54" t="s">
        <v>39</v>
      </c>
      <c r="P54" t="s">
        <v>39</v>
      </c>
      <c r="Q54" t="s">
        <v>138</v>
      </c>
      <c r="R54" t="s">
        <v>267</v>
      </c>
      <c r="S54" s="17" t="s">
        <v>51</v>
      </c>
      <c r="T54" s="1" t="s">
        <v>267</v>
      </c>
      <c r="U54" s="1" t="s">
        <v>285</v>
      </c>
      <c r="V54" t="s">
        <v>620</v>
      </c>
      <c r="W54" s="4" t="s">
        <v>880</v>
      </c>
      <c r="X54">
        <f>2/3+0.03</f>
        <v>0.69666666666666666</v>
      </c>
      <c r="Y54" s="19"/>
      <c r="Z54" s="1" t="s">
        <v>617</v>
      </c>
      <c r="AA54" s="1" t="s">
        <v>618</v>
      </c>
      <c r="AC54" s="2" t="s">
        <v>621</v>
      </c>
      <c r="AD54" s="2" t="s">
        <v>623</v>
      </c>
    </row>
    <row r="55" spans="1:35" ht="75" customHeight="1">
      <c r="A55" s="4" t="s">
        <v>511</v>
      </c>
      <c r="B55" s="4" t="s">
        <v>99</v>
      </c>
      <c r="C55" s="1">
        <v>3.3183060000000002</v>
      </c>
      <c r="D55" s="1">
        <v>8</v>
      </c>
      <c r="E55" s="1">
        <v>1998</v>
      </c>
      <c r="F55" s="21" t="s">
        <v>626</v>
      </c>
      <c r="G55" t="s">
        <v>40</v>
      </c>
      <c r="H55" s="16" t="s">
        <v>666</v>
      </c>
      <c r="I55" t="s">
        <v>71</v>
      </c>
      <c r="J55" s="32" t="s">
        <v>398</v>
      </c>
      <c r="K55" s="16" t="s">
        <v>267</v>
      </c>
      <c r="L55" t="s">
        <v>851</v>
      </c>
      <c r="M55" t="s">
        <v>624</v>
      </c>
      <c r="N55" t="s">
        <v>39</v>
      </c>
      <c r="O55" t="s">
        <v>39</v>
      </c>
      <c r="P55" t="s">
        <v>39</v>
      </c>
      <c r="Q55" t="s">
        <v>138</v>
      </c>
      <c r="R55" t="s">
        <v>267</v>
      </c>
      <c r="S55" t="s">
        <v>71</v>
      </c>
      <c r="T55" s="8" t="s">
        <v>217</v>
      </c>
      <c r="U55" s="8">
        <v>3</v>
      </c>
      <c r="V55" t="s">
        <v>323</v>
      </c>
      <c r="W55" s="4" t="s">
        <v>625</v>
      </c>
      <c r="X55">
        <f>0.5+0.5+0.01</f>
        <v>1.01</v>
      </c>
      <c r="Y55">
        <f>0.5*1.5+0.5+0</f>
        <v>1.25</v>
      </c>
      <c r="Z55" s="1">
        <v>85</v>
      </c>
      <c r="AA55" s="1" t="s">
        <v>208</v>
      </c>
    </row>
    <row r="56" spans="1:35" ht="75" customHeight="1">
      <c r="A56" s="4" t="s">
        <v>512</v>
      </c>
      <c r="B56" s="4" t="s">
        <v>98</v>
      </c>
      <c r="C56" s="1">
        <v>2.7902520000000002</v>
      </c>
      <c r="D56" s="1">
        <v>6</v>
      </c>
      <c r="E56" s="1">
        <v>1986</v>
      </c>
      <c r="F56" s="21" t="s">
        <v>630</v>
      </c>
      <c r="G56" t="s">
        <v>40</v>
      </c>
      <c r="H56" t="s">
        <v>627</v>
      </c>
      <c r="I56" s="21" t="s">
        <v>51</v>
      </c>
      <c r="J56" s="21" t="s">
        <v>51</v>
      </c>
      <c r="K56" s="16" t="s">
        <v>217</v>
      </c>
      <c r="L56" t="s">
        <v>40</v>
      </c>
      <c r="M56" t="s">
        <v>628</v>
      </c>
      <c r="N56" t="s">
        <v>39</v>
      </c>
      <c r="O56" t="s">
        <v>39</v>
      </c>
      <c r="P56" t="s">
        <v>39</v>
      </c>
      <c r="Q56" t="s">
        <v>592</v>
      </c>
      <c r="R56" t="s">
        <v>590</v>
      </c>
      <c r="S56" s="17" t="s">
        <v>629</v>
      </c>
      <c r="T56" s="1" t="s">
        <v>217</v>
      </c>
      <c r="U56" s="1">
        <v>3</v>
      </c>
      <c r="V56" t="s">
        <v>323</v>
      </c>
      <c r="W56" s="4" t="s">
        <v>910</v>
      </c>
      <c r="X56">
        <f>2/3+ 2/3+0.04</f>
        <v>1.3733333333333333</v>
      </c>
      <c r="Y56">
        <f>2/3*1.5+0.03 + 2/3</f>
        <v>1.6966666666666668</v>
      </c>
      <c r="Z56" s="1" t="s">
        <v>158</v>
      </c>
      <c r="AA56" s="1" t="s">
        <v>159</v>
      </c>
      <c r="AC56" s="2" t="s">
        <v>946</v>
      </c>
    </row>
    <row r="57" spans="1:35" ht="75" customHeight="1">
      <c r="A57" s="4" t="s">
        <v>513</v>
      </c>
      <c r="B57" s="4" t="s">
        <v>100</v>
      </c>
      <c r="C57" s="1">
        <v>4.3309810000000004</v>
      </c>
      <c r="D57" s="1">
        <v>10</v>
      </c>
      <c r="E57" s="1">
        <v>2006</v>
      </c>
      <c r="F57" s="21" t="s">
        <v>634</v>
      </c>
      <c r="G57" t="s">
        <v>434</v>
      </c>
      <c r="H57" t="s">
        <v>667</v>
      </c>
      <c r="I57" t="s">
        <v>51</v>
      </c>
      <c r="J57" s="21" t="s">
        <v>39</v>
      </c>
      <c r="K57" s="16" t="s">
        <v>217</v>
      </c>
      <c r="L57" t="s">
        <v>452</v>
      </c>
      <c r="M57" t="s">
        <v>633</v>
      </c>
      <c r="N57" t="s">
        <v>39</v>
      </c>
      <c r="O57" t="s">
        <v>39</v>
      </c>
      <c r="P57" t="s">
        <v>39</v>
      </c>
      <c r="Q57" s="18" t="s">
        <v>345</v>
      </c>
      <c r="R57" t="s">
        <v>267</v>
      </c>
      <c r="S57" s="1" t="s">
        <v>51</v>
      </c>
      <c r="T57" s="1" t="s">
        <v>267</v>
      </c>
      <c r="U57" s="1">
        <v>1</v>
      </c>
      <c r="V57" t="s">
        <v>417</v>
      </c>
      <c r="W57" s="4" t="s">
        <v>881</v>
      </c>
      <c r="X57">
        <f>2/3+0.03</f>
        <v>0.69666666666666666</v>
      </c>
      <c r="Y57">
        <f>2/3+0.03</f>
        <v>0.69666666666666666</v>
      </c>
      <c r="Z57" s="1" t="s">
        <v>631</v>
      </c>
      <c r="AA57" s="1" t="s">
        <v>632</v>
      </c>
    </row>
    <row r="58" spans="1:35" ht="75" customHeight="1">
      <c r="A58" s="4" t="s">
        <v>514</v>
      </c>
      <c r="B58" s="4" t="s">
        <v>16</v>
      </c>
      <c r="C58" s="1"/>
      <c r="D58" s="1">
        <v>1</v>
      </c>
      <c r="E58" s="1">
        <v>2009</v>
      </c>
      <c r="F58" s="21" t="s">
        <v>638</v>
      </c>
      <c r="G58" t="s">
        <v>40</v>
      </c>
      <c r="H58" t="s">
        <v>455</v>
      </c>
      <c r="I58" t="s">
        <v>51</v>
      </c>
      <c r="J58" s="21" t="s">
        <v>39</v>
      </c>
      <c r="K58" s="16" t="s">
        <v>267</v>
      </c>
      <c r="L58" s="16" t="s">
        <v>849</v>
      </c>
      <c r="M58" t="s">
        <v>635</v>
      </c>
      <c r="N58" t="s">
        <v>39</v>
      </c>
      <c r="O58" t="s">
        <v>39</v>
      </c>
      <c r="P58" t="s">
        <v>39</v>
      </c>
      <c r="Q58" t="s">
        <v>51</v>
      </c>
      <c r="R58" t="s">
        <v>217</v>
      </c>
      <c r="S58" t="s">
        <v>51</v>
      </c>
      <c r="T58" s="1" t="s">
        <v>267</v>
      </c>
      <c r="U58" s="1">
        <v>1</v>
      </c>
      <c r="V58" t="s">
        <v>417</v>
      </c>
      <c r="W58" s="4" t="s">
        <v>882</v>
      </c>
      <c r="X58">
        <f>2/3+0.02</f>
        <v>0.68666666666666665</v>
      </c>
      <c r="Y58">
        <f>2/3+0.02</f>
        <v>0.68666666666666665</v>
      </c>
      <c r="Z58" s="1">
        <v>114</v>
      </c>
      <c r="AA58" s="1" t="s">
        <v>48</v>
      </c>
      <c r="AC58" s="2" t="s">
        <v>637</v>
      </c>
    </row>
    <row r="59" spans="1:35" ht="75" customHeight="1">
      <c r="A59" s="4" t="s">
        <v>515</v>
      </c>
      <c r="B59" s="4" t="s">
        <v>104</v>
      </c>
      <c r="C59" s="1">
        <v>4.0420970000000001</v>
      </c>
      <c r="D59" s="1">
        <v>9</v>
      </c>
      <c r="E59" s="1">
        <v>2011</v>
      </c>
      <c r="F59" s="21" t="s">
        <v>640</v>
      </c>
      <c r="G59" t="s">
        <v>40</v>
      </c>
      <c r="H59" t="s">
        <v>639</v>
      </c>
      <c r="I59" t="s">
        <v>51</v>
      </c>
      <c r="J59" s="21" t="s">
        <v>39</v>
      </c>
      <c r="K59" s="16" t="s">
        <v>217</v>
      </c>
      <c r="L59" t="s">
        <v>40</v>
      </c>
      <c r="M59" t="s">
        <v>949</v>
      </c>
      <c r="N59" t="s">
        <v>39</v>
      </c>
      <c r="O59" t="s">
        <v>39</v>
      </c>
      <c r="P59" t="s">
        <v>39</v>
      </c>
      <c r="Q59" t="s">
        <v>51</v>
      </c>
      <c r="R59" t="s">
        <v>217</v>
      </c>
      <c r="S59" t="s">
        <v>51</v>
      </c>
      <c r="T59" s="1" t="s">
        <v>267</v>
      </c>
      <c r="U59" s="1">
        <v>2</v>
      </c>
      <c r="V59" t="s">
        <v>435</v>
      </c>
      <c r="W59" s="21" t="s">
        <v>948</v>
      </c>
      <c r="X59">
        <f>2/3+0.5+0.02</f>
        <v>1.1866666666666665</v>
      </c>
      <c r="Y59">
        <f>2/3+0.5+0.02</f>
        <v>1.1866666666666665</v>
      </c>
      <c r="Z59" s="1" t="s">
        <v>642</v>
      </c>
      <c r="AA59" s="1" t="s">
        <v>641</v>
      </c>
      <c r="AC59" s="2" t="s">
        <v>947</v>
      </c>
    </row>
    <row r="60" spans="1:35" s="25" customFormat="1" ht="75" customHeight="1">
      <c r="B60" s="23" t="s">
        <v>103</v>
      </c>
      <c r="C60" s="25">
        <v>3.1583450000000002</v>
      </c>
      <c r="D60" s="25">
        <v>7</v>
      </c>
      <c r="E60" s="25" t="s">
        <v>234</v>
      </c>
      <c r="F60" s="26"/>
      <c r="G60" s="27"/>
      <c r="H60" s="27"/>
      <c r="I60" s="27"/>
      <c r="J60" s="27"/>
      <c r="K60" s="28"/>
      <c r="L60" s="27"/>
      <c r="M60" s="27"/>
      <c r="N60" s="27"/>
      <c r="O60" s="27"/>
      <c r="P60" s="27"/>
      <c r="Q60" s="27"/>
      <c r="R60" s="27"/>
      <c r="S60" s="27"/>
      <c r="T60" s="25" t="s">
        <v>217</v>
      </c>
      <c r="V60" s="27"/>
      <c r="W60" s="26"/>
      <c r="X60" s="27"/>
      <c r="Y60" s="27"/>
      <c r="Z60" s="25" t="s">
        <v>237</v>
      </c>
      <c r="AA60" s="25" t="s">
        <v>236</v>
      </c>
    </row>
    <row r="61" spans="1:35" ht="75" customHeight="1">
      <c r="A61" s="10" t="s">
        <v>516</v>
      </c>
      <c r="B61" s="4" t="s">
        <v>110</v>
      </c>
      <c r="C61" s="1">
        <v>2.8830900000000002</v>
      </c>
      <c r="D61" s="1">
        <v>6</v>
      </c>
      <c r="E61" s="1">
        <v>1999</v>
      </c>
      <c r="F61" s="21" t="s">
        <v>647</v>
      </c>
      <c r="G61" t="s">
        <v>40</v>
      </c>
      <c r="H61" s="31" t="s">
        <v>666</v>
      </c>
      <c r="I61" t="s">
        <v>51</v>
      </c>
      <c r="J61" s="21" t="s">
        <v>39</v>
      </c>
      <c r="K61" s="16" t="s">
        <v>217</v>
      </c>
      <c r="L61" t="s">
        <v>40</v>
      </c>
      <c r="M61" t="s">
        <v>645</v>
      </c>
      <c r="N61" t="s">
        <v>39</v>
      </c>
      <c r="O61" t="s">
        <v>39</v>
      </c>
      <c r="P61" t="s">
        <v>39</v>
      </c>
      <c r="Q61" t="s">
        <v>71</v>
      </c>
      <c r="R61" t="s">
        <v>648</v>
      </c>
      <c r="S61" t="s">
        <v>51</v>
      </c>
      <c r="T61" s="1" t="s">
        <v>267</v>
      </c>
      <c r="U61" s="1">
        <v>1</v>
      </c>
      <c r="V61" t="s">
        <v>417</v>
      </c>
      <c r="W61" s="41" t="s">
        <v>872</v>
      </c>
      <c r="X61">
        <f>2/3+ 0.01</f>
        <v>0.67666666666666664</v>
      </c>
      <c r="Y61">
        <f>2/3+0.01</f>
        <v>0.67666666666666664</v>
      </c>
      <c r="Z61" s="1" t="s">
        <v>643</v>
      </c>
      <c r="AA61" s="1" t="s">
        <v>644</v>
      </c>
      <c r="AC61" s="2" t="s">
        <v>649</v>
      </c>
    </row>
    <row r="62" spans="1:35" ht="75" customHeight="1">
      <c r="A62" s="4" t="s">
        <v>517</v>
      </c>
      <c r="C62" s="1"/>
      <c r="D62" s="1"/>
      <c r="E62" s="1"/>
      <c r="F62" s="21" t="s">
        <v>662</v>
      </c>
      <c r="G62" t="s">
        <v>40</v>
      </c>
      <c r="H62" s="31" t="s">
        <v>666</v>
      </c>
      <c r="I62" t="s">
        <v>51</v>
      </c>
      <c r="J62" s="21" t="s">
        <v>51</v>
      </c>
      <c r="K62" s="16" t="s">
        <v>663</v>
      </c>
      <c r="L62" t="s">
        <v>853</v>
      </c>
      <c r="M62" t="s">
        <v>40</v>
      </c>
      <c r="N62" t="s">
        <v>39</v>
      </c>
      <c r="O62" t="s">
        <v>39</v>
      </c>
      <c r="P62" t="s">
        <v>661</v>
      </c>
      <c r="Q62" s="24" t="s">
        <v>345</v>
      </c>
      <c r="R62" t="s">
        <v>217</v>
      </c>
      <c r="S62" t="s">
        <v>51</v>
      </c>
      <c r="T62" s="1" t="s">
        <v>217</v>
      </c>
      <c r="U62" s="1">
        <v>2</v>
      </c>
      <c r="V62" t="s">
        <v>348</v>
      </c>
      <c r="W62" s="21" t="s">
        <v>883</v>
      </c>
      <c r="X62">
        <f>2/3+0.03</f>
        <v>0.69666666666666666</v>
      </c>
      <c r="Y62">
        <f>1.5*2/3+0.02</f>
        <v>1.02</v>
      </c>
      <c r="Z62" s="1" t="s">
        <v>659</v>
      </c>
      <c r="AA62" s="1" t="s">
        <v>660</v>
      </c>
      <c r="AC62" s="2" t="s">
        <v>950</v>
      </c>
    </row>
    <row r="63" spans="1:35" s="25" customFormat="1" ht="126" customHeight="1">
      <c r="B63" s="23" t="s">
        <v>105</v>
      </c>
      <c r="C63" s="25">
        <v>3.2077640000000001</v>
      </c>
      <c r="D63" s="25">
        <v>7</v>
      </c>
      <c r="E63" s="25">
        <v>1992</v>
      </c>
      <c r="F63" s="26"/>
      <c r="G63" s="27"/>
      <c r="H63" s="27"/>
      <c r="I63" s="27"/>
      <c r="J63" s="27"/>
      <c r="K63" s="28" t="s">
        <v>217</v>
      </c>
      <c r="L63" s="27"/>
      <c r="M63" s="27"/>
      <c r="N63" s="27"/>
      <c r="O63" s="27"/>
      <c r="P63" s="27"/>
      <c r="Q63" s="27"/>
      <c r="R63" s="27"/>
      <c r="S63" s="27"/>
      <c r="T63" s="25" t="s">
        <v>267</v>
      </c>
      <c r="V63" s="27"/>
      <c r="W63" s="26"/>
      <c r="X63" s="27"/>
      <c r="Y63" s="27"/>
      <c r="Z63" s="25">
        <v>118</v>
      </c>
      <c r="AA63" s="25" t="s">
        <v>220</v>
      </c>
    </row>
    <row r="64" spans="1:35" ht="75" customHeight="1">
      <c r="A64" s="4" t="s">
        <v>518</v>
      </c>
      <c r="B64" s="4" t="s">
        <v>109</v>
      </c>
      <c r="C64" s="1">
        <v>4.1599240000000002</v>
      </c>
      <c r="D64" s="1">
        <v>10</v>
      </c>
      <c r="E64" s="1">
        <v>2011</v>
      </c>
      <c r="F64" s="21" t="s">
        <v>664</v>
      </c>
      <c r="G64" t="s">
        <v>40</v>
      </c>
      <c r="H64" s="31" t="s">
        <v>666</v>
      </c>
      <c r="I64" s="17" t="s">
        <v>51</v>
      </c>
      <c r="J64" s="21" t="s">
        <v>39</v>
      </c>
      <c r="K64" s="16" t="s">
        <v>267</v>
      </c>
      <c r="L64" t="s">
        <v>854</v>
      </c>
      <c r="M64" t="s">
        <v>665</v>
      </c>
      <c r="N64" t="s">
        <v>39</v>
      </c>
      <c r="O64" t="s">
        <v>39</v>
      </c>
      <c r="P64" t="s">
        <v>39</v>
      </c>
      <c r="Q64" s="18" t="s">
        <v>345</v>
      </c>
      <c r="R64" t="s">
        <v>217</v>
      </c>
      <c r="S64" t="s">
        <v>51</v>
      </c>
      <c r="T64" s="1" t="s">
        <v>267</v>
      </c>
      <c r="U64" s="1">
        <v>1</v>
      </c>
      <c r="V64" t="s">
        <v>417</v>
      </c>
      <c r="W64" s="42" t="s">
        <v>884</v>
      </c>
      <c r="X64">
        <f>2/3+0.01</f>
        <v>0.67666666666666664</v>
      </c>
      <c r="Y64">
        <f>2/3+0.01</f>
        <v>0.67666666666666664</v>
      </c>
      <c r="Z64" s="1" t="s">
        <v>53</v>
      </c>
      <c r="AA64" s="1" t="s">
        <v>197</v>
      </c>
    </row>
    <row r="65" spans="1:35" ht="75" customHeight="1">
      <c r="A65" s="4" t="s">
        <v>519</v>
      </c>
      <c r="B65" s="4" t="s">
        <v>17</v>
      </c>
      <c r="C65" s="1"/>
      <c r="D65" s="1">
        <v>1</v>
      </c>
      <c r="E65" s="1">
        <v>2007</v>
      </c>
      <c r="F65" s="21" t="s">
        <v>673</v>
      </c>
      <c r="G65" t="s">
        <v>40</v>
      </c>
      <c r="H65" s="31" t="s">
        <v>666</v>
      </c>
      <c r="I65" t="s">
        <v>320</v>
      </c>
      <c r="J65" t="s">
        <v>320</v>
      </c>
      <c r="K65" s="16" t="s">
        <v>217</v>
      </c>
      <c r="L65" t="s">
        <v>40</v>
      </c>
      <c r="M65" t="s">
        <v>40</v>
      </c>
      <c r="N65" t="s">
        <v>39</v>
      </c>
      <c r="O65" t="s">
        <v>39</v>
      </c>
      <c r="P65" t="s">
        <v>584</v>
      </c>
      <c r="Q65" s="24" t="s">
        <v>345</v>
      </c>
      <c r="R65" t="s">
        <v>217</v>
      </c>
      <c r="S65" t="s">
        <v>613</v>
      </c>
      <c r="T65" s="1" t="s">
        <v>217</v>
      </c>
      <c r="U65" s="1">
        <v>3</v>
      </c>
      <c r="V65" t="s">
        <v>674</v>
      </c>
      <c r="W65" s="4" t="s">
        <v>885</v>
      </c>
      <c r="X65">
        <f>2/3+0.5+0.02</f>
        <v>1.1866666666666665</v>
      </c>
      <c r="Y65">
        <f>2/3*1.5+0.5+0.01</f>
        <v>1.51</v>
      </c>
      <c r="Z65" s="1">
        <v>135</v>
      </c>
      <c r="AA65" s="1" t="s">
        <v>69</v>
      </c>
    </row>
    <row r="66" spans="1:35" s="6" customFormat="1" ht="75" customHeight="1">
      <c r="A66" s="4" t="s">
        <v>520</v>
      </c>
      <c r="B66" s="4" t="s">
        <v>102</v>
      </c>
      <c r="C66" s="1">
        <v>3.5774569999999999</v>
      </c>
      <c r="D66" s="1">
        <v>9</v>
      </c>
      <c r="E66" s="1">
        <v>2006</v>
      </c>
      <c r="F66" s="21" t="s">
        <v>680</v>
      </c>
      <c r="G66" t="s">
        <v>40</v>
      </c>
      <c r="H66" s="31" t="s">
        <v>678</v>
      </c>
      <c r="I66" s="21" t="s">
        <v>51</v>
      </c>
      <c r="J66" s="21" t="s">
        <v>39</v>
      </c>
      <c r="K66" s="16" t="s">
        <v>267</v>
      </c>
      <c r="L66" s="16" t="s">
        <v>849</v>
      </c>
      <c r="M66" t="s">
        <v>40</v>
      </c>
      <c r="N66" t="s">
        <v>39</v>
      </c>
      <c r="O66" t="s">
        <v>39</v>
      </c>
      <c r="P66" t="s">
        <v>39</v>
      </c>
      <c r="Q66" s="18" t="s">
        <v>345</v>
      </c>
      <c r="R66" t="s">
        <v>217</v>
      </c>
      <c r="S66" t="s">
        <v>51</v>
      </c>
      <c r="T66" s="1" t="s">
        <v>267</v>
      </c>
      <c r="U66" s="1" t="s">
        <v>681</v>
      </c>
      <c r="V66" t="s">
        <v>341</v>
      </c>
      <c r="W66" s="4" t="s">
        <v>886</v>
      </c>
      <c r="X66">
        <f>2/3+0.03</f>
        <v>0.69666666666666666</v>
      </c>
      <c r="Y66">
        <f>2/3+0.03</f>
        <v>0.69666666666666666</v>
      </c>
      <c r="Z66" s="1" t="s">
        <v>677</v>
      </c>
      <c r="AA66" s="1" t="s">
        <v>676</v>
      </c>
      <c r="AB66" s="1"/>
      <c r="AC66" s="2" t="s">
        <v>679</v>
      </c>
      <c r="AD66" s="1"/>
      <c r="AE66" s="1"/>
      <c r="AF66" s="1"/>
      <c r="AG66" s="1"/>
      <c r="AH66" s="1"/>
      <c r="AI66" s="1"/>
    </row>
    <row r="67" spans="1:35" ht="75" customHeight="1">
      <c r="A67" s="4" t="s">
        <v>521</v>
      </c>
      <c r="B67" s="4" t="s">
        <v>107</v>
      </c>
      <c r="C67" s="1">
        <v>3.8001010000000002</v>
      </c>
      <c r="D67" s="1">
        <v>10</v>
      </c>
      <c r="E67" s="1">
        <v>2001</v>
      </c>
      <c r="F67" t="s">
        <v>685</v>
      </c>
      <c r="G67" t="s">
        <v>684</v>
      </c>
      <c r="H67" s="31" t="s">
        <v>682</v>
      </c>
      <c r="I67" t="s">
        <v>311</v>
      </c>
      <c r="J67" s="21" t="s">
        <v>39</v>
      </c>
      <c r="K67" s="16" t="s">
        <v>217</v>
      </c>
      <c r="L67" t="s">
        <v>40</v>
      </c>
      <c r="M67" t="s">
        <v>683</v>
      </c>
      <c r="N67" t="s">
        <v>39</v>
      </c>
      <c r="O67" t="s">
        <v>39</v>
      </c>
      <c r="P67" t="s">
        <v>39</v>
      </c>
      <c r="Q67" s="18" t="s">
        <v>675</v>
      </c>
      <c r="R67" t="s">
        <v>217</v>
      </c>
      <c r="S67" t="s">
        <v>311</v>
      </c>
      <c r="T67" s="1" t="s">
        <v>267</v>
      </c>
      <c r="U67" s="1">
        <v>1</v>
      </c>
      <c r="V67" t="s">
        <v>341</v>
      </c>
      <c r="W67" s="42" t="s">
        <v>887</v>
      </c>
      <c r="X67">
        <f>3/4+0.01</f>
        <v>0.76</v>
      </c>
      <c r="Y67">
        <f>3/4+0.01</f>
        <v>0.76</v>
      </c>
      <c r="Z67" s="1" t="s">
        <v>196</v>
      </c>
      <c r="AA67" s="1" t="s">
        <v>263</v>
      </c>
      <c r="AC67" s="6"/>
      <c r="AH67" s="6"/>
      <c r="AI67" s="6"/>
    </row>
    <row r="68" spans="1:35" ht="75" customHeight="1">
      <c r="A68" s="4" t="s">
        <v>522</v>
      </c>
      <c r="B68" s="10" t="s">
        <v>106</v>
      </c>
      <c r="C68" s="6">
        <v>4.1290870000000002</v>
      </c>
      <c r="D68" s="6">
        <v>9</v>
      </c>
      <c r="E68" s="6" t="s">
        <v>238</v>
      </c>
      <c r="F68" s="21" t="s">
        <v>688</v>
      </c>
      <c r="G68" t="s">
        <v>687</v>
      </c>
      <c r="H68" s="31" t="s">
        <v>686</v>
      </c>
      <c r="I68" t="s">
        <v>51</v>
      </c>
      <c r="J68" s="21" t="s">
        <v>39</v>
      </c>
      <c r="K68" s="16" t="s">
        <v>217</v>
      </c>
      <c r="L68" t="s">
        <v>40</v>
      </c>
      <c r="M68" t="s">
        <v>689</v>
      </c>
      <c r="N68" t="s">
        <v>39</v>
      </c>
      <c r="O68" t="s">
        <v>39</v>
      </c>
      <c r="P68" t="s">
        <v>39</v>
      </c>
      <c r="Q68" s="18" t="s">
        <v>345</v>
      </c>
      <c r="R68" t="s">
        <v>217</v>
      </c>
      <c r="S68" s="1" t="s">
        <v>51</v>
      </c>
      <c r="T68" s="6" t="s">
        <v>267</v>
      </c>
      <c r="U68" s="6">
        <v>1</v>
      </c>
      <c r="V68" t="s">
        <v>341</v>
      </c>
      <c r="W68" s="21" t="s">
        <v>911</v>
      </c>
      <c r="X68">
        <f>2/3+0.03</f>
        <v>0.69666666666666666</v>
      </c>
      <c r="Y68">
        <f>2/3+0.03</f>
        <v>0.69666666666666666</v>
      </c>
      <c r="Z68" s="6" t="s">
        <v>240</v>
      </c>
      <c r="AA68" s="6" t="s">
        <v>239</v>
      </c>
      <c r="AB68" s="6"/>
      <c r="AC68" s="6"/>
      <c r="AD68" s="6"/>
      <c r="AE68" s="6"/>
      <c r="AF68" s="6"/>
      <c r="AG68" s="6"/>
    </row>
    <row r="69" spans="1:35" s="25" customFormat="1" ht="75" customHeight="1">
      <c r="B69" s="23" t="s">
        <v>108</v>
      </c>
      <c r="C69" s="25">
        <v>2.922075</v>
      </c>
      <c r="D69" s="25">
        <v>5</v>
      </c>
      <c r="E69" s="25">
        <v>2007</v>
      </c>
      <c r="F69" s="26"/>
      <c r="G69" s="27"/>
      <c r="H69" s="27"/>
      <c r="I69" s="27"/>
      <c r="J69" s="27"/>
      <c r="K69" s="28" t="s">
        <v>217</v>
      </c>
      <c r="L69" s="27"/>
      <c r="M69" s="27"/>
      <c r="N69" s="27"/>
      <c r="O69" s="27"/>
      <c r="P69" s="27"/>
      <c r="Q69" s="27"/>
      <c r="R69" s="27"/>
      <c r="S69" s="27"/>
      <c r="T69" s="25" t="s">
        <v>267</v>
      </c>
      <c r="V69" s="27"/>
      <c r="W69" s="26"/>
      <c r="X69" s="27"/>
      <c r="Y69" s="27"/>
      <c r="Z69" s="25" t="s">
        <v>178</v>
      </c>
      <c r="AA69" s="25" t="s">
        <v>179</v>
      </c>
    </row>
    <row r="70" spans="1:35" ht="75" customHeight="1">
      <c r="A70" s="4" t="s">
        <v>523</v>
      </c>
      <c r="B70" s="4" t="s">
        <v>111</v>
      </c>
      <c r="C70" s="1">
        <v>3.913802</v>
      </c>
      <c r="D70" s="1">
        <v>6</v>
      </c>
      <c r="E70" s="1">
        <v>2010</v>
      </c>
      <c r="F70" s="21" t="s">
        <v>697</v>
      </c>
      <c r="G70" t="s">
        <v>40</v>
      </c>
      <c r="H70" s="31" t="s">
        <v>698</v>
      </c>
      <c r="I70" s="17" t="s">
        <v>51</v>
      </c>
      <c r="J70" s="21" t="s">
        <v>51</v>
      </c>
      <c r="K70" s="16" t="s">
        <v>217</v>
      </c>
      <c r="L70" t="s">
        <v>40</v>
      </c>
      <c r="M70" t="s">
        <v>699</v>
      </c>
      <c r="N70" t="s">
        <v>39</v>
      </c>
      <c r="O70" t="s">
        <v>39</v>
      </c>
      <c r="P70" t="s">
        <v>39</v>
      </c>
      <c r="Q70" s="18" t="s">
        <v>345</v>
      </c>
      <c r="R70" t="s">
        <v>217</v>
      </c>
      <c r="S70" s="18" t="s">
        <v>51</v>
      </c>
      <c r="T70" s="1" t="s">
        <v>217</v>
      </c>
      <c r="U70" s="1">
        <v>2</v>
      </c>
      <c r="V70" t="s">
        <v>348</v>
      </c>
      <c r="W70" s="4" t="s">
        <v>888</v>
      </c>
      <c r="X70">
        <f>2/3+0.01</f>
        <v>0.67666666666666664</v>
      </c>
      <c r="Y70">
        <f>2/3*1.5</f>
        <v>1</v>
      </c>
      <c r="Z70" s="1" t="s">
        <v>172</v>
      </c>
      <c r="AA70" s="1" t="s">
        <v>173</v>
      </c>
    </row>
    <row r="71" spans="1:35" ht="75" customHeight="1">
      <c r="A71" s="4" t="s">
        <v>524</v>
      </c>
      <c r="B71" s="4" t="s">
        <v>114</v>
      </c>
      <c r="C71" s="1">
        <v>3.2771560000000002</v>
      </c>
      <c r="D71" s="1">
        <v>6</v>
      </c>
      <c r="E71" s="1">
        <v>2010</v>
      </c>
      <c r="F71" s="21" t="s">
        <v>732</v>
      </c>
      <c r="G71" t="s">
        <v>40</v>
      </c>
      <c r="H71" s="31" t="s">
        <v>666</v>
      </c>
      <c r="I71" t="s">
        <v>51</v>
      </c>
      <c r="J71" s="21" t="s">
        <v>39</v>
      </c>
      <c r="K71" s="16" t="s">
        <v>267</v>
      </c>
      <c r="L71" s="16" t="s">
        <v>849</v>
      </c>
      <c r="M71" t="s">
        <v>40</v>
      </c>
      <c r="N71" t="s">
        <v>39</v>
      </c>
      <c r="O71" t="s">
        <v>39</v>
      </c>
      <c r="P71" t="s">
        <v>39</v>
      </c>
      <c r="Q71" s="18" t="s">
        <v>345</v>
      </c>
      <c r="R71" t="s">
        <v>217</v>
      </c>
      <c r="S71" t="s">
        <v>51</v>
      </c>
      <c r="T71" s="6" t="s">
        <v>267</v>
      </c>
      <c r="U71" s="6">
        <v>1</v>
      </c>
      <c r="V71" t="s">
        <v>341</v>
      </c>
      <c r="W71" s="42" t="s">
        <v>872</v>
      </c>
      <c r="X71">
        <f>2/3+0.01</f>
        <v>0.67666666666666664</v>
      </c>
      <c r="Y71">
        <f>2/3+0.01</f>
        <v>0.67666666666666664</v>
      </c>
      <c r="Z71" s="1">
        <v>148</v>
      </c>
      <c r="AA71" s="1" t="s">
        <v>167</v>
      </c>
    </row>
    <row r="72" spans="1:35" ht="142.05000000000001" customHeight="1">
      <c r="A72" s="4" t="s">
        <v>525</v>
      </c>
      <c r="B72" s="4" t="s">
        <v>18</v>
      </c>
      <c r="C72" s="1"/>
      <c r="D72" s="1">
        <v>1</v>
      </c>
      <c r="E72" s="1">
        <v>2008</v>
      </c>
      <c r="F72" s="21" t="s">
        <v>737</v>
      </c>
      <c r="G72" t="s">
        <v>40</v>
      </c>
      <c r="H72" s="31" t="s">
        <v>733</v>
      </c>
      <c r="I72" t="s">
        <v>398</v>
      </c>
      <c r="J72" t="s">
        <v>39</v>
      </c>
      <c r="K72" s="16" t="s">
        <v>267</v>
      </c>
      <c r="L72" t="s">
        <v>735</v>
      </c>
      <c r="M72" s="16" t="s">
        <v>40</v>
      </c>
      <c r="N72" s="16" t="s">
        <v>734</v>
      </c>
      <c r="O72" s="16" t="s">
        <v>734</v>
      </c>
      <c r="P72" s="16" t="s">
        <v>39</v>
      </c>
      <c r="Q72" s="36" t="s">
        <v>345</v>
      </c>
      <c r="R72" s="16" t="s">
        <v>217</v>
      </c>
      <c r="S72" t="s">
        <v>739</v>
      </c>
      <c r="T72" s="1" t="s">
        <v>217</v>
      </c>
      <c r="U72" s="1">
        <v>3</v>
      </c>
      <c r="V72" t="s">
        <v>740</v>
      </c>
      <c r="W72" s="3" t="s">
        <v>738</v>
      </c>
      <c r="X72">
        <f>0.5+0.02+2/3</f>
        <v>1.1866666666666665</v>
      </c>
      <c r="Y72">
        <f>0.5+2/3*1.5+0.01</f>
        <v>1.51</v>
      </c>
      <c r="Z72" s="1" t="s">
        <v>49</v>
      </c>
      <c r="AA72" s="1" t="s">
        <v>231</v>
      </c>
      <c r="AC72" s="2" t="s">
        <v>736</v>
      </c>
    </row>
    <row r="73" spans="1:35" ht="144" customHeight="1">
      <c r="A73" s="4" t="s">
        <v>526</v>
      </c>
      <c r="C73" s="1"/>
      <c r="D73" s="1"/>
      <c r="E73" s="1"/>
      <c r="F73" s="21"/>
      <c r="G73"/>
      <c r="H73"/>
      <c r="I73"/>
      <c r="J73"/>
      <c r="K73" s="16"/>
      <c r="L73"/>
      <c r="M73"/>
      <c r="N73"/>
      <c r="O73"/>
      <c r="P73"/>
      <c r="Q73"/>
      <c r="R73"/>
      <c r="S73"/>
      <c r="W73" s="21"/>
      <c r="X73"/>
      <c r="Y73"/>
      <c r="Z73" s="1" t="s">
        <v>742</v>
      </c>
      <c r="AA73" s="1" t="s">
        <v>741</v>
      </c>
      <c r="AC73" s="2" t="s">
        <v>951</v>
      </c>
    </row>
    <row r="74" spans="1:35" ht="75" customHeight="1">
      <c r="A74" s="4" t="s">
        <v>527</v>
      </c>
      <c r="B74" s="4" t="s">
        <v>113</v>
      </c>
      <c r="C74" s="1">
        <v>3.602938</v>
      </c>
      <c r="D74" s="1">
        <v>8</v>
      </c>
      <c r="E74" s="1">
        <v>2005</v>
      </c>
      <c r="F74" s="21" t="s">
        <v>747</v>
      </c>
      <c r="G74" t="s">
        <v>40</v>
      </c>
      <c r="H74" t="s">
        <v>744</v>
      </c>
      <c r="I74" t="s">
        <v>364</v>
      </c>
      <c r="J74" t="s">
        <v>39</v>
      </c>
      <c r="K74" s="16" t="s">
        <v>217</v>
      </c>
      <c r="L74" t="s">
        <v>745</v>
      </c>
      <c r="M74" t="s">
        <v>40</v>
      </c>
      <c r="N74" t="s">
        <v>39</v>
      </c>
      <c r="O74" t="s">
        <v>39</v>
      </c>
      <c r="P74" t="s">
        <v>39</v>
      </c>
      <c r="Q74" t="s">
        <v>703</v>
      </c>
      <c r="R74" t="s">
        <v>267</v>
      </c>
      <c r="S74" t="s">
        <v>364</v>
      </c>
      <c r="T74" s="1" t="s">
        <v>267</v>
      </c>
      <c r="U74" s="1">
        <v>1</v>
      </c>
      <c r="V74" t="s">
        <v>341</v>
      </c>
      <c r="W74" s="8" t="s">
        <v>889</v>
      </c>
      <c r="X74">
        <f>3/5+0.02</f>
        <v>0.62</v>
      </c>
      <c r="Y74">
        <f>3/5+0.02</f>
        <v>0.62</v>
      </c>
      <c r="Z74" s="1" t="s">
        <v>152</v>
      </c>
      <c r="AA74" s="1" t="s">
        <v>743</v>
      </c>
      <c r="AC74" s="2" t="s">
        <v>746</v>
      </c>
      <c r="AD74" s="2" t="s">
        <v>912</v>
      </c>
    </row>
    <row r="75" spans="1:35" ht="75" customHeight="1">
      <c r="A75" s="4" t="s">
        <v>528</v>
      </c>
      <c r="B75" s="4" t="s">
        <v>112</v>
      </c>
      <c r="C75" s="1">
        <v>2.9141089999999998</v>
      </c>
      <c r="D75" s="1">
        <v>6</v>
      </c>
      <c r="E75" s="1">
        <v>2010</v>
      </c>
      <c r="F75" s="21" t="s">
        <v>751</v>
      </c>
      <c r="G75" t="s">
        <v>40</v>
      </c>
      <c r="H75" t="s">
        <v>748</v>
      </c>
      <c r="I75" t="s">
        <v>311</v>
      </c>
      <c r="J75" t="s">
        <v>39</v>
      </c>
      <c r="K75" s="16" t="s">
        <v>138</v>
      </c>
      <c r="L75" t="s">
        <v>40</v>
      </c>
      <c r="M75" t="s">
        <v>750</v>
      </c>
      <c r="N75" t="s">
        <v>39</v>
      </c>
      <c r="O75" t="s">
        <v>39</v>
      </c>
      <c r="P75" t="s">
        <v>39</v>
      </c>
      <c r="Q75" t="s">
        <v>138</v>
      </c>
      <c r="R75" t="s">
        <v>599</v>
      </c>
      <c r="S75" t="s">
        <v>311</v>
      </c>
      <c r="T75" s="8" t="s">
        <v>267</v>
      </c>
      <c r="U75" s="8">
        <v>2</v>
      </c>
      <c r="V75" t="s">
        <v>435</v>
      </c>
      <c r="W75" s="3" t="s">
        <v>749</v>
      </c>
      <c r="X75">
        <f>3/4+0.5-0.01</f>
        <v>1.24</v>
      </c>
      <c r="Y75">
        <f>3/4+0.5-0.01</f>
        <v>1.24</v>
      </c>
      <c r="Z75" s="1" t="s">
        <v>162</v>
      </c>
      <c r="AA75" s="1" t="s">
        <v>163</v>
      </c>
    </row>
    <row r="76" spans="1:35" ht="75" customHeight="1">
      <c r="A76" s="1" t="s">
        <v>529</v>
      </c>
      <c r="B76" s="4" t="s">
        <v>19</v>
      </c>
      <c r="C76" s="1"/>
      <c r="D76" s="1">
        <v>1</v>
      </c>
      <c r="E76" s="1">
        <v>2014</v>
      </c>
      <c r="F76" s="21" t="s">
        <v>753</v>
      </c>
      <c r="G76" t="s">
        <v>40</v>
      </c>
      <c r="H76" t="s">
        <v>700</v>
      </c>
      <c r="I76" t="s">
        <v>592</v>
      </c>
      <c r="J76" t="s">
        <v>39</v>
      </c>
      <c r="K76" s="16" t="s">
        <v>267</v>
      </c>
      <c r="L76" t="s">
        <v>752</v>
      </c>
      <c r="M76" t="s">
        <v>40</v>
      </c>
      <c r="N76" s="16" t="s">
        <v>51</v>
      </c>
      <c r="O76" t="s">
        <v>39</v>
      </c>
      <c r="P76" t="s">
        <v>39</v>
      </c>
      <c r="Q76" s="18" t="s">
        <v>345</v>
      </c>
      <c r="R76" t="s">
        <v>217</v>
      </c>
      <c r="S76" s="17" t="s">
        <v>51</v>
      </c>
      <c r="T76" s="6" t="s">
        <v>267</v>
      </c>
      <c r="U76" s="6">
        <v>1</v>
      </c>
      <c r="V76" s="31" t="s">
        <v>341</v>
      </c>
      <c r="W76" s="10" t="s">
        <v>952</v>
      </c>
      <c r="X76" s="31">
        <f>2/3+0.01</f>
        <v>0.67666666666666664</v>
      </c>
      <c r="Y76" s="31">
        <f>2/3+0.01</f>
        <v>0.67666666666666664</v>
      </c>
      <c r="Z76" s="6">
        <v>112</v>
      </c>
      <c r="AA76" s="1" t="s">
        <v>43</v>
      </c>
    </row>
    <row r="77" spans="1:35" ht="145.94999999999999" customHeight="1">
      <c r="A77" s="1" t="s">
        <v>530</v>
      </c>
      <c r="C77" s="1"/>
      <c r="D77" s="1"/>
      <c r="E77" s="1"/>
      <c r="F77" s="21" t="s">
        <v>757</v>
      </c>
      <c r="G77" t="s">
        <v>40</v>
      </c>
      <c r="H77" t="s">
        <v>700</v>
      </c>
      <c r="I77" t="s">
        <v>51</v>
      </c>
      <c r="J77" t="s">
        <v>51</v>
      </c>
      <c r="K77" s="16" t="s">
        <v>756</v>
      </c>
      <c r="L77" t="s">
        <v>851</v>
      </c>
      <c r="M77" t="s">
        <v>40</v>
      </c>
      <c r="N77" t="s">
        <v>39</v>
      </c>
      <c r="O77" t="s">
        <v>39</v>
      </c>
      <c r="P77" t="s">
        <v>39</v>
      </c>
      <c r="Q77" s="18" t="s">
        <v>345</v>
      </c>
      <c r="R77" t="s">
        <v>217</v>
      </c>
      <c r="S77" t="s">
        <v>51</v>
      </c>
      <c r="T77" s="1" t="s">
        <v>217</v>
      </c>
      <c r="U77" s="1">
        <v>2</v>
      </c>
      <c r="V77" t="s">
        <v>348</v>
      </c>
      <c r="W77" s="8" t="s">
        <v>890</v>
      </c>
      <c r="X77">
        <f>2/3+0.02</f>
        <v>0.68666666666666665</v>
      </c>
      <c r="Y77">
        <f>2/3*1.5+0.01</f>
        <v>1.01</v>
      </c>
      <c r="Z77" s="1" t="s">
        <v>755</v>
      </c>
      <c r="AA77" s="1" t="s">
        <v>754</v>
      </c>
    </row>
    <row r="78" spans="1:35" ht="138" customHeight="1">
      <c r="A78" s="4" t="s">
        <v>531</v>
      </c>
      <c r="B78" s="4" t="s">
        <v>115</v>
      </c>
      <c r="C78" s="1">
        <v>4.1488110000000002</v>
      </c>
      <c r="D78" s="1">
        <v>9</v>
      </c>
      <c r="E78" s="1">
        <v>2004</v>
      </c>
      <c r="F78" s="21" t="s">
        <v>762</v>
      </c>
      <c r="G78" t="s">
        <v>40</v>
      </c>
      <c r="H78" t="s">
        <v>758</v>
      </c>
      <c r="I78" t="s">
        <v>55</v>
      </c>
      <c r="J78" t="s">
        <v>39</v>
      </c>
      <c r="K78" s="16" t="s">
        <v>217</v>
      </c>
      <c r="L78" t="s">
        <v>40</v>
      </c>
      <c r="M78" t="s">
        <v>761</v>
      </c>
      <c r="N78"/>
      <c r="O78" t="s">
        <v>39</v>
      </c>
      <c r="P78" t="s">
        <v>39</v>
      </c>
      <c r="Q78" t="s">
        <v>582</v>
      </c>
      <c r="R78" t="s">
        <v>217</v>
      </c>
      <c r="S78" t="s">
        <v>581</v>
      </c>
      <c r="T78" s="1" t="s">
        <v>267</v>
      </c>
      <c r="U78" s="1">
        <v>2</v>
      </c>
      <c r="V78" t="s">
        <v>759</v>
      </c>
      <c r="W78" s="4" t="s">
        <v>913</v>
      </c>
      <c r="X78">
        <f>0.51+0.51 + 0.02</f>
        <v>1.04</v>
      </c>
      <c r="Y78">
        <f>0.51+0.51 + 0.02</f>
        <v>1.04</v>
      </c>
      <c r="Z78" s="1" t="s">
        <v>205</v>
      </c>
      <c r="AA78" s="1" t="s">
        <v>206</v>
      </c>
      <c r="AC78" s="2" t="s">
        <v>760</v>
      </c>
    </row>
    <row r="79" spans="1:35" ht="75" customHeight="1">
      <c r="A79" s="4" t="s">
        <v>532</v>
      </c>
      <c r="B79" s="4" t="s">
        <v>118</v>
      </c>
      <c r="C79" s="1">
        <v>3.8213020000000002</v>
      </c>
      <c r="D79" s="1">
        <v>8</v>
      </c>
      <c r="E79" s="1">
        <v>2011</v>
      </c>
      <c r="F79" s="21" t="s">
        <v>769</v>
      </c>
      <c r="G79" t="s">
        <v>765</v>
      </c>
      <c r="H79" t="s">
        <v>763</v>
      </c>
      <c r="I79" t="s">
        <v>55</v>
      </c>
      <c r="J79" t="s">
        <v>55</v>
      </c>
      <c r="K79" s="16" t="s">
        <v>217</v>
      </c>
      <c r="L79" t="s">
        <v>40</v>
      </c>
      <c r="M79" t="s">
        <v>764</v>
      </c>
      <c r="N79" t="s">
        <v>39</v>
      </c>
      <c r="O79" t="s">
        <v>39</v>
      </c>
      <c r="P79" t="s">
        <v>39</v>
      </c>
      <c r="Q79" t="s">
        <v>582</v>
      </c>
      <c r="R79" t="s">
        <v>217</v>
      </c>
      <c r="S79" t="s">
        <v>55</v>
      </c>
      <c r="T79" s="1" t="s">
        <v>217</v>
      </c>
      <c r="U79" s="1">
        <v>3</v>
      </c>
      <c r="V79" t="s">
        <v>323</v>
      </c>
      <c r="W79" s="4" t="s">
        <v>901</v>
      </c>
      <c r="X79">
        <f>0.51+0.5+0.02</f>
        <v>1.03</v>
      </c>
      <c r="Y79">
        <f>0.51*1.5+0.5+0.01</f>
        <v>1.2750000000000001</v>
      </c>
      <c r="Z79" s="1" t="s">
        <v>215</v>
      </c>
      <c r="AA79" s="1" t="s">
        <v>216</v>
      </c>
    </row>
    <row r="80" spans="1:35" ht="75" customHeight="1">
      <c r="A80" s="4" t="s">
        <v>533</v>
      </c>
      <c r="B80" s="4" t="s">
        <v>116</v>
      </c>
      <c r="C80" s="1">
        <v>3.965182</v>
      </c>
      <c r="D80" s="1">
        <v>9</v>
      </c>
      <c r="E80" s="1">
        <v>2009</v>
      </c>
      <c r="F80" s="21" t="s">
        <v>774</v>
      </c>
      <c r="G80" t="s">
        <v>40</v>
      </c>
      <c r="H80" t="s">
        <v>771</v>
      </c>
      <c r="I80" t="s">
        <v>55</v>
      </c>
      <c r="J80" t="s">
        <v>39</v>
      </c>
      <c r="K80" s="16" t="s">
        <v>217</v>
      </c>
      <c r="L80" t="s">
        <v>772</v>
      </c>
      <c r="M80" t="s">
        <v>321</v>
      </c>
      <c r="N80" t="s">
        <v>39</v>
      </c>
      <c r="O80" t="s">
        <v>39</v>
      </c>
      <c r="P80" t="s">
        <v>39</v>
      </c>
      <c r="Q80" t="s">
        <v>582</v>
      </c>
      <c r="R80" t="s">
        <v>217</v>
      </c>
      <c r="S80" t="s">
        <v>55</v>
      </c>
      <c r="T80" s="1" t="s">
        <v>267</v>
      </c>
      <c r="U80" s="1">
        <v>2</v>
      </c>
      <c r="V80" t="s">
        <v>435</v>
      </c>
      <c r="W80" s="4" t="s">
        <v>773</v>
      </c>
      <c r="X80">
        <f>0.51+0.5-0.01</f>
        <v>1</v>
      </c>
      <c r="Y80">
        <f>0.51+0.5-0.01</f>
        <v>1</v>
      </c>
      <c r="Z80" s="1" t="s">
        <v>204</v>
      </c>
      <c r="AA80" s="1" t="s">
        <v>770</v>
      </c>
    </row>
    <row r="81" spans="1:30" ht="75" customHeight="1">
      <c r="A81" s="4" t="s">
        <v>534</v>
      </c>
      <c r="B81" s="4" t="s">
        <v>117</v>
      </c>
      <c r="C81" s="1">
        <v>3.728907</v>
      </c>
      <c r="D81" s="1">
        <v>8</v>
      </c>
      <c r="E81" s="1">
        <v>1987</v>
      </c>
      <c r="F81" s="21" t="s">
        <v>777</v>
      </c>
      <c r="G81" t="s">
        <v>776</v>
      </c>
      <c r="H81" t="s">
        <v>775</v>
      </c>
      <c r="I81" s="21" t="s">
        <v>311</v>
      </c>
      <c r="J81" s="21" t="s">
        <v>311</v>
      </c>
      <c r="K81" s="16" t="s">
        <v>217</v>
      </c>
      <c r="L81" t="s">
        <v>40</v>
      </c>
      <c r="M81" t="s">
        <v>731</v>
      </c>
      <c r="N81" t="s">
        <v>39</v>
      </c>
      <c r="O81" t="s">
        <v>39</v>
      </c>
      <c r="P81" t="s">
        <v>778</v>
      </c>
      <c r="Q81">
        <v>99</v>
      </c>
      <c r="R81" t="s">
        <v>267</v>
      </c>
      <c r="S81" t="s">
        <v>311</v>
      </c>
      <c r="T81" s="1" t="s">
        <v>217</v>
      </c>
      <c r="U81" s="1">
        <v>3</v>
      </c>
      <c r="V81" t="s">
        <v>323</v>
      </c>
      <c r="W81" s="4" t="s">
        <v>902</v>
      </c>
      <c r="X81">
        <f>3/4+0.5</f>
        <v>1.25</v>
      </c>
      <c r="Y81">
        <f>3/4*1.5+0.5</f>
        <v>1.625</v>
      </c>
      <c r="Z81" s="1">
        <v>17</v>
      </c>
      <c r="AA81" s="1" t="s">
        <v>218</v>
      </c>
    </row>
    <row r="82" spans="1:30" ht="75" customHeight="1">
      <c r="A82" s="4" t="s">
        <v>535</v>
      </c>
      <c r="B82" s="4" t="s">
        <v>20</v>
      </c>
      <c r="C82" s="1"/>
      <c r="D82" s="1">
        <v>1</v>
      </c>
      <c r="E82" s="1">
        <v>2009</v>
      </c>
      <c r="F82" s="21" t="s">
        <v>784</v>
      </c>
      <c r="G82" t="s">
        <v>40</v>
      </c>
      <c r="H82" t="s">
        <v>779</v>
      </c>
      <c r="I82" t="s">
        <v>780</v>
      </c>
      <c r="J82" t="s">
        <v>781</v>
      </c>
      <c r="K82" s="16" t="s">
        <v>217</v>
      </c>
      <c r="L82" t="s">
        <v>783</v>
      </c>
      <c r="M82" t="s">
        <v>782</v>
      </c>
      <c r="N82" t="s">
        <v>39</v>
      </c>
      <c r="O82" t="s">
        <v>39</v>
      </c>
      <c r="P82" t="s">
        <v>39</v>
      </c>
      <c r="Q82" s="18" t="s">
        <v>345</v>
      </c>
      <c r="R82" t="s">
        <v>217</v>
      </c>
      <c r="S82" s="1" t="s">
        <v>785</v>
      </c>
      <c r="T82" s="1" t="s">
        <v>217</v>
      </c>
      <c r="U82" s="1">
        <v>2</v>
      </c>
      <c r="V82" s="1" t="s">
        <v>348</v>
      </c>
      <c r="W82" s="4" t="s">
        <v>786</v>
      </c>
      <c r="X82" s="1">
        <f>2/3+0.04</f>
        <v>0.70666666666666667</v>
      </c>
      <c r="Y82">
        <f>2/3+0.51*0.5+0.03</f>
        <v>0.95166666666666666</v>
      </c>
      <c r="Z82" s="1">
        <v>235</v>
      </c>
      <c r="AA82" s="1" t="s">
        <v>68</v>
      </c>
    </row>
    <row r="83" spans="1:30" ht="75" customHeight="1">
      <c r="A83" s="4" t="s">
        <v>536</v>
      </c>
      <c r="B83" s="4" t="s">
        <v>21</v>
      </c>
      <c r="C83" s="1"/>
      <c r="D83" s="1">
        <v>1</v>
      </c>
      <c r="E83" s="1">
        <v>2005</v>
      </c>
      <c r="F83" s="21" t="s">
        <v>791</v>
      </c>
      <c r="G83" t="s">
        <v>788</v>
      </c>
      <c r="H83" t="s">
        <v>789</v>
      </c>
      <c r="I83" t="s">
        <v>51</v>
      </c>
      <c r="J83" t="s">
        <v>39</v>
      </c>
      <c r="K83" s="16" t="s">
        <v>217</v>
      </c>
      <c r="L83" t="s">
        <v>790</v>
      </c>
      <c r="M83" t="s">
        <v>40</v>
      </c>
      <c r="N83" t="s">
        <v>39</v>
      </c>
      <c r="O83" t="s">
        <v>39</v>
      </c>
      <c r="P83" t="s">
        <v>39</v>
      </c>
      <c r="Q83" s="18" t="s">
        <v>345</v>
      </c>
      <c r="R83" t="s">
        <v>217</v>
      </c>
      <c r="S83" t="s">
        <v>51</v>
      </c>
      <c r="T83" s="1" t="s">
        <v>267</v>
      </c>
      <c r="U83" s="1">
        <v>1</v>
      </c>
      <c r="V83" t="s">
        <v>341</v>
      </c>
      <c r="W83" s="42" t="s">
        <v>884</v>
      </c>
      <c r="X83">
        <f>2/3 +0.01</f>
        <v>0.67666666666666664</v>
      </c>
      <c r="Y83">
        <f>2/3 +0.01</f>
        <v>0.67666666666666664</v>
      </c>
      <c r="Z83" s="1" t="s">
        <v>50</v>
      </c>
      <c r="AA83" s="1" t="s">
        <v>787</v>
      </c>
    </row>
    <row r="84" spans="1:30" ht="75" customHeight="1">
      <c r="A84" s="4" t="s">
        <v>537</v>
      </c>
      <c r="B84" s="4" t="s">
        <v>119</v>
      </c>
      <c r="C84" s="1">
        <v>4.2195859999999996</v>
      </c>
      <c r="D84" s="1">
        <v>9</v>
      </c>
      <c r="E84" s="1">
        <v>2003</v>
      </c>
      <c r="F84" s="21" t="s">
        <v>794</v>
      </c>
      <c r="G84" t="s">
        <v>40</v>
      </c>
      <c r="H84" t="s">
        <v>792</v>
      </c>
      <c r="I84" t="s">
        <v>51</v>
      </c>
      <c r="J84" t="s">
        <v>51</v>
      </c>
      <c r="K84" s="16" t="s">
        <v>217</v>
      </c>
      <c r="L84" t="s">
        <v>40</v>
      </c>
      <c r="M84" t="s">
        <v>793</v>
      </c>
      <c r="N84" t="s">
        <v>39</v>
      </c>
      <c r="O84" t="s">
        <v>39</v>
      </c>
      <c r="P84" t="s">
        <v>39</v>
      </c>
      <c r="Q84" s="18" t="s">
        <v>345</v>
      </c>
      <c r="R84" t="s">
        <v>217</v>
      </c>
      <c r="S84" t="s">
        <v>51</v>
      </c>
      <c r="T84" s="1" t="s">
        <v>217</v>
      </c>
      <c r="U84" s="1">
        <v>3</v>
      </c>
      <c r="V84" t="s">
        <v>323</v>
      </c>
      <c r="W84" s="4" t="s">
        <v>891</v>
      </c>
      <c r="X84">
        <f>2/3+0.5+0.02</f>
        <v>1.1866666666666665</v>
      </c>
      <c r="Y84">
        <f>2/3*1.5+0.5+0.01</f>
        <v>1.51</v>
      </c>
      <c r="Z84" s="1" t="s">
        <v>148</v>
      </c>
      <c r="AA84" s="1" t="s">
        <v>149</v>
      </c>
    </row>
    <row r="85" spans="1:30" s="25" customFormat="1" ht="75" customHeight="1">
      <c r="B85" s="23" t="s">
        <v>120</v>
      </c>
      <c r="C85" s="25">
        <v>4.3324990000000003</v>
      </c>
      <c r="D85" s="25">
        <v>6</v>
      </c>
      <c r="E85" s="25">
        <v>2014</v>
      </c>
      <c r="F85" s="26"/>
      <c r="G85" s="27"/>
      <c r="H85" s="27"/>
      <c r="I85" s="27"/>
      <c r="J85" s="27"/>
      <c r="K85" s="28" t="s">
        <v>217</v>
      </c>
      <c r="L85" s="27"/>
      <c r="M85" s="27"/>
      <c r="N85" s="27"/>
      <c r="O85" s="27"/>
      <c r="P85" s="27"/>
      <c r="Q85" s="27"/>
      <c r="R85" s="27"/>
      <c r="S85" s="27"/>
      <c r="T85" s="30" t="s">
        <v>217</v>
      </c>
      <c r="U85" s="30"/>
      <c r="V85" s="27"/>
      <c r="W85" s="26"/>
      <c r="X85" s="27"/>
      <c r="Y85" s="27"/>
      <c r="Z85" s="25" t="s">
        <v>174</v>
      </c>
      <c r="AA85" s="25" t="s">
        <v>232</v>
      </c>
    </row>
    <row r="86" spans="1:30" ht="75" customHeight="1">
      <c r="A86" s="4" t="s">
        <v>538</v>
      </c>
      <c r="B86" s="4" t="s">
        <v>121</v>
      </c>
      <c r="C86" s="1">
        <v>3.3325170000000002</v>
      </c>
      <c r="D86" s="1">
        <v>8</v>
      </c>
      <c r="E86" s="1">
        <v>2009</v>
      </c>
      <c r="F86" s="21" t="s">
        <v>953</v>
      </c>
      <c r="G86" t="s">
        <v>40</v>
      </c>
      <c r="H86" t="s">
        <v>795</v>
      </c>
      <c r="I86" t="s">
        <v>398</v>
      </c>
      <c r="J86" t="s">
        <v>398</v>
      </c>
      <c r="K86" s="16" t="s">
        <v>217</v>
      </c>
      <c r="L86" t="s">
        <v>604</v>
      </c>
      <c r="M86" t="s">
        <v>796</v>
      </c>
      <c r="N86" t="s">
        <v>39</v>
      </c>
      <c r="O86" t="s">
        <v>39</v>
      </c>
      <c r="P86" t="s">
        <v>39</v>
      </c>
      <c r="Q86" s="18" t="s">
        <v>436</v>
      </c>
      <c r="R86" t="s">
        <v>267</v>
      </c>
      <c r="S86" t="s">
        <v>797</v>
      </c>
      <c r="T86" s="5" t="s">
        <v>271</v>
      </c>
      <c r="U86" s="5">
        <v>3</v>
      </c>
      <c r="V86" t="s">
        <v>323</v>
      </c>
      <c r="W86" s="4" t="s">
        <v>858</v>
      </c>
      <c r="X86">
        <f>1.02</f>
        <v>1.02</v>
      </c>
      <c r="Y86">
        <f>0.5*1.5+0.5 +0.01</f>
        <v>1.26</v>
      </c>
      <c r="Z86" s="1" t="s">
        <v>209</v>
      </c>
      <c r="AA86" s="1" t="s">
        <v>210</v>
      </c>
      <c r="AB86" s="1" t="s">
        <v>250</v>
      </c>
      <c r="AC86" s="2" t="s">
        <v>798</v>
      </c>
      <c r="AD86" s="2" t="s">
        <v>954</v>
      </c>
    </row>
    <row r="87" spans="1:30" ht="75" customHeight="1">
      <c r="A87" s="4" t="s">
        <v>539</v>
      </c>
      <c r="B87" s="4" t="s">
        <v>132</v>
      </c>
      <c r="C87" s="1">
        <v>3.1119720000000002</v>
      </c>
      <c r="D87" s="1">
        <v>5</v>
      </c>
      <c r="E87" s="1">
        <v>2008</v>
      </c>
      <c r="F87" s="21" t="s">
        <v>799</v>
      </c>
      <c r="G87"/>
      <c r="H87" t="s">
        <v>700</v>
      </c>
      <c r="I87" t="s">
        <v>51</v>
      </c>
      <c r="J87" t="s">
        <v>39</v>
      </c>
      <c r="K87" s="16" t="s">
        <v>217</v>
      </c>
      <c r="L87" t="s">
        <v>800</v>
      </c>
      <c r="M87" t="s">
        <v>801</v>
      </c>
      <c r="N87" t="s">
        <v>39</v>
      </c>
      <c r="O87" t="s">
        <v>39</v>
      </c>
      <c r="P87" t="s">
        <v>39</v>
      </c>
      <c r="Q87" s="18" t="s">
        <v>345</v>
      </c>
      <c r="R87" t="s">
        <v>217</v>
      </c>
      <c r="S87" t="s">
        <v>51</v>
      </c>
      <c r="T87" s="1" t="s">
        <v>267</v>
      </c>
      <c r="U87" s="1">
        <v>1</v>
      </c>
      <c r="V87" t="s">
        <v>341</v>
      </c>
      <c r="W87" s="4" t="s">
        <v>892</v>
      </c>
      <c r="X87">
        <f>2/3+0.03</f>
        <v>0.69666666666666666</v>
      </c>
      <c r="Y87">
        <f>2/3+0.03</f>
        <v>0.69666666666666666</v>
      </c>
      <c r="Z87" s="1">
        <v>108</v>
      </c>
      <c r="AA87" s="1" t="s">
        <v>180</v>
      </c>
    </row>
    <row r="88" spans="1:30" ht="75" customHeight="1">
      <c r="A88" s="4" t="s">
        <v>540</v>
      </c>
      <c r="B88" s="4" t="s">
        <v>22</v>
      </c>
      <c r="C88" s="1"/>
      <c r="D88" s="1">
        <v>1</v>
      </c>
      <c r="E88" s="1">
        <v>2001</v>
      </c>
      <c r="F88" s="21" t="s">
        <v>803</v>
      </c>
      <c r="G88" t="s">
        <v>40</v>
      </c>
      <c r="H88" t="s">
        <v>666</v>
      </c>
      <c r="I88" s="17" t="s">
        <v>364</v>
      </c>
      <c r="J88" t="s">
        <v>39</v>
      </c>
      <c r="K88" s="16" t="s">
        <v>217</v>
      </c>
      <c r="L88" t="s">
        <v>40</v>
      </c>
      <c r="M88" t="s">
        <v>40</v>
      </c>
      <c r="N88" t="s">
        <v>39</v>
      </c>
      <c r="O88" t="s">
        <v>39</v>
      </c>
      <c r="P88" t="s">
        <v>39</v>
      </c>
      <c r="Q88" t="s">
        <v>138</v>
      </c>
      <c r="R88" t="s">
        <v>599</v>
      </c>
      <c r="S88" t="s">
        <v>364</v>
      </c>
      <c r="T88" s="1" t="s">
        <v>267</v>
      </c>
      <c r="U88" s="1">
        <v>1</v>
      </c>
      <c r="V88" t="s">
        <v>341</v>
      </c>
      <c r="W88" s="41" t="s">
        <v>893</v>
      </c>
      <c r="X88">
        <f>3/5 +0.01</f>
        <v>0.61</v>
      </c>
      <c r="Y88">
        <f>3/5 +0.01</f>
        <v>0.61</v>
      </c>
      <c r="Z88" s="1" t="s">
        <v>66</v>
      </c>
      <c r="AA88" s="1" t="s">
        <v>67</v>
      </c>
    </row>
    <row r="89" spans="1:30" ht="75" customHeight="1">
      <c r="A89" s="4" t="s">
        <v>541</v>
      </c>
      <c r="B89" s="4" t="s">
        <v>23</v>
      </c>
      <c r="C89" s="1"/>
      <c r="D89" s="1">
        <v>1</v>
      </c>
      <c r="E89" s="1">
        <v>2013</v>
      </c>
      <c r="F89" s="21" t="s">
        <v>806</v>
      </c>
      <c r="G89" t="s">
        <v>40</v>
      </c>
      <c r="H89" t="s">
        <v>804</v>
      </c>
      <c r="I89" t="s">
        <v>51</v>
      </c>
      <c r="J89" t="s">
        <v>39</v>
      </c>
      <c r="K89" s="16" t="s">
        <v>217</v>
      </c>
      <c r="L89" t="s">
        <v>40</v>
      </c>
      <c r="M89" t="s">
        <v>805</v>
      </c>
      <c r="N89" t="s">
        <v>39</v>
      </c>
      <c r="O89" t="s">
        <v>39</v>
      </c>
      <c r="P89" t="s">
        <v>39</v>
      </c>
      <c r="Q89" s="18" t="s">
        <v>345</v>
      </c>
      <c r="R89" t="s">
        <v>217</v>
      </c>
      <c r="S89" t="s">
        <v>51</v>
      </c>
      <c r="T89" s="2" t="s">
        <v>268</v>
      </c>
      <c r="U89" s="6">
        <v>1</v>
      </c>
      <c r="V89" t="s">
        <v>341</v>
      </c>
      <c r="W89" s="42" t="s">
        <v>894</v>
      </c>
      <c r="X89">
        <f>2/3+0.02</f>
        <v>0.68666666666666665</v>
      </c>
      <c r="Y89">
        <f>2/3+0.02</f>
        <v>0.68666666666666665</v>
      </c>
      <c r="Z89" s="1" t="s">
        <v>64</v>
      </c>
      <c r="AA89" s="1" t="s">
        <v>65</v>
      </c>
    </row>
    <row r="90" spans="1:30" ht="75" customHeight="1">
      <c r="A90" s="4" t="s">
        <v>542</v>
      </c>
      <c r="B90" s="4" t="s">
        <v>131</v>
      </c>
      <c r="C90" s="1">
        <v>3.2482859999999998</v>
      </c>
      <c r="D90" s="1">
        <v>8</v>
      </c>
      <c r="E90" s="1">
        <v>2009</v>
      </c>
      <c r="F90" s="21" t="s">
        <v>807</v>
      </c>
      <c r="G90" t="s">
        <v>40</v>
      </c>
      <c r="H90" t="s">
        <v>700</v>
      </c>
      <c r="I90" s="21" t="s">
        <v>51</v>
      </c>
      <c r="J90" s="21" t="s">
        <v>39</v>
      </c>
      <c r="K90" s="16" t="s">
        <v>267</v>
      </c>
      <c r="L90" s="16" t="s">
        <v>849</v>
      </c>
      <c r="M90" t="s">
        <v>40</v>
      </c>
      <c r="N90" t="s">
        <v>39</v>
      </c>
      <c r="O90" t="s">
        <v>39</v>
      </c>
      <c r="P90" t="s">
        <v>39</v>
      </c>
      <c r="Q90" s="18" t="s">
        <v>345</v>
      </c>
      <c r="R90" t="s">
        <v>217</v>
      </c>
      <c r="S90" t="s">
        <v>51</v>
      </c>
      <c r="T90" s="1" t="s">
        <v>267</v>
      </c>
      <c r="U90" s="1">
        <v>1</v>
      </c>
      <c r="V90" t="s">
        <v>341</v>
      </c>
      <c r="W90" s="4" t="s">
        <v>895</v>
      </c>
      <c r="X90">
        <f>2/3 +0.03</f>
        <v>0.69666666666666666</v>
      </c>
      <c r="Y90">
        <f>2/3 +0.03</f>
        <v>0.69666666666666666</v>
      </c>
      <c r="Z90" s="1">
        <v>61</v>
      </c>
      <c r="AA90" s="1" t="s">
        <v>207</v>
      </c>
    </row>
    <row r="91" spans="1:30" ht="205.05" customHeight="1">
      <c r="A91" s="4" t="s">
        <v>543</v>
      </c>
      <c r="B91" s="4" t="s">
        <v>137</v>
      </c>
      <c r="C91" s="1">
        <v>4.0630030000000001</v>
      </c>
      <c r="D91" s="1">
        <v>9</v>
      </c>
      <c r="E91" s="1">
        <v>2012</v>
      </c>
      <c r="F91" s="21" t="s">
        <v>809</v>
      </c>
      <c r="G91" t="s">
        <v>40</v>
      </c>
      <c r="H91" t="s">
        <v>700</v>
      </c>
      <c r="I91" s="21" t="s">
        <v>51</v>
      </c>
      <c r="J91" s="21" t="s">
        <v>39</v>
      </c>
      <c r="K91" s="16" t="s">
        <v>267</v>
      </c>
      <c r="L91" t="s">
        <v>851</v>
      </c>
      <c r="M91" t="s">
        <v>40</v>
      </c>
      <c r="N91" t="s">
        <v>39</v>
      </c>
      <c r="O91" t="s">
        <v>39</v>
      </c>
      <c r="P91" t="s">
        <v>808</v>
      </c>
      <c r="Q91">
        <v>96</v>
      </c>
      <c r="R91" t="s">
        <v>217</v>
      </c>
      <c r="S91" t="s">
        <v>51</v>
      </c>
      <c r="T91" s="1" t="s">
        <v>217</v>
      </c>
      <c r="U91" s="1">
        <v>1</v>
      </c>
      <c r="V91" t="s">
        <v>341</v>
      </c>
      <c r="W91" s="4" t="s">
        <v>896</v>
      </c>
      <c r="X91">
        <f>2/3+0.05</f>
        <v>0.71666666666666667</v>
      </c>
      <c r="Y91">
        <f>2/3+0.05</f>
        <v>0.71666666666666667</v>
      </c>
      <c r="Z91" s="1">
        <v>74</v>
      </c>
      <c r="AA91" s="1" t="s">
        <v>146</v>
      </c>
      <c r="AC91" s="2" t="s">
        <v>810</v>
      </c>
    </row>
    <row r="92" spans="1:30" ht="75" customHeight="1">
      <c r="A92" s="10" t="s">
        <v>544</v>
      </c>
      <c r="B92" s="4" t="s">
        <v>24</v>
      </c>
      <c r="C92" s="1"/>
      <c r="D92" s="1">
        <v>1</v>
      </c>
      <c r="E92" s="1">
        <v>2011</v>
      </c>
      <c r="F92" s="21" t="s">
        <v>815</v>
      </c>
      <c r="G92" t="s">
        <v>40</v>
      </c>
      <c r="H92" t="s">
        <v>813</v>
      </c>
      <c r="I92" t="s">
        <v>364</v>
      </c>
      <c r="J92" t="s">
        <v>364</v>
      </c>
      <c r="K92" s="16" t="s">
        <v>267</v>
      </c>
      <c r="L92" t="s">
        <v>40</v>
      </c>
      <c r="M92" t="s">
        <v>814</v>
      </c>
      <c r="N92" t="s">
        <v>39</v>
      </c>
      <c r="O92" t="s">
        <v>39</v>
      </c>
      <c r="P92" t="s">
        <v>39</v>
      </c>
      <c r="Q92" s="18" t="s">
        <v>436</v>
      </c>
      <c r="R92" t="s">
        <v>217</v>
      </c>
      <c r="S92" t="s">
        <v>364</v>
      </c>
      <c r="T92" s="1" t="s">
        <v>217</v>
      </c>
      <c r="U92" s="1">
        <v>3</v>
      </c>
      <c r="V92" t="s">
        <v>323</v>
      </c>
      <c r="W92" s="3" t="s">
        <v>914</v>
      </c>
      <c r="X92">
        <f>3/5</f>
        <v>0.6</v>
      </c>
      <c r="Y92">
        <f>3/5*1.5-0.01</f>
        <v>0.8899999999999999</v>
      </c>
      <c r="Z92" s="1" t="s">
        <v>811</v>
      </c>
      <c r="AA92" s="1" t="s">
        <v>812</v>
      </c>
      <c r="AC92" s="2" t="s">
        <v>816</v>
      </c>
    </row>
    <row r="93" spans="1:30" s="25" customFormat="1" ht="75" customHeight="1">
      <c r="B93" s="23" t="s">
        <v>130</v>
      </c>
      <c r="C93" s="25">
        <v>3.8501240000000001</v>
      </c>
      <c r="D93" s="25">
        <v>6</v>
      </c>
      <c r="E93" s="25">
        <v>2010</v>
      </c>
      <c r="F93" s="26"/>
      <c r="G93" s="27"/>
      <c r="H93" s="27"/>
      <c r="I93" s="27"/>
      <c r="J93" s="27"/>
      <c r="K93" s="28" t="s">
        <v>217</v>
      </c>
      <c r="L93" s="27"/>
      <c r="M93" s="27"/>
      <c r="N93" s="27"/>
      <c r="O93" s="27"/>
      <c r="P93" s="27"/>
      <c r="Q93" s="27"/>
      <c r="R93" s="27"/>
      <c r="S93" s="27"/>
      <c r="T93" s="25" t="s">
        <v>267</v>
      </c>
      <c r="V93" s="27"/>
      <c r="W93" s="26"/>
      <c r="X93" s="27"/>
      <c r="Y93" s="27"/>
      <c r="Z93" s="25" t="s">
        <v>170</v>
      </c>
      <c r="AA93" s="25" t="s">
        <v>171</v>
      </c>
    </row>
    <row r="94" spans="1:30" s="25" customFormat="1" ht="75" customHeight="1">
      <c r="B94" s="23" t="s">
        <v>270</v>
      </c>
      <c r="C94" s="25">
        <v>4.1326580000000002</v>
      </c>
      <c r="D94" s="25">
        <v>5</v>
      </c>
      <c r="E94" s="25">
        <v>1992</v>
      </c>
      <c r="F94" s="26"/>
      <c r="G94" s="27"/>
      <c r="H94" s="27"/>
      <c r="I94" s="27"/>
      <c r="J94" s="27"/>
      <c r="K94" s="28" t="s">
        <v>267</v>
      </c>
      <c r="L94" s="27"/>
      <c r="M94" s="27"/>
      <c r="N94" s="27"/>
      <c r="O94" s="27"/>
      <c r="P94" s="27"/>
      <c r="Q94" s="27"/>
      <c r="R94" s="27"/>
      <c r="S94" s="27"/>
      <c r="T94" s="25" t="s">
        <v>267</v>
      </c>
      <c r="V94" s="27"/>
      <c r="W94" s="26"/>
      <c r="X94" s="27"/>
      <c r="Y94" s="27"/>
      <c r="Z94" s="25" t="s">
        <v>190</v>
      </c>
      <c r="AA94" s="25" t="s">
        <v>191</v>
      </c>
    </row>
    <row r="95" spans="1:30" ht="75" customHeight="1">
      <c r="A95" s="4" t="s">
        <v>545</v>
      </c>
      <c r="B95" s="4" t="s">
        <v>25</v>
      </c>
      <c r="C95" s="1"/>
      <c r="D95" s="1">
        <v>1</v>
      </c>
      <c r="E95" s="1">
        <v>2012</v>
      </c>
      <c r="F95" s="21" t="s">
        <v>817</v>
      </c>
      <c r="G95" t="s">
        <v>40</v>
      </c>
      <c r="H95" t="s">
        <v>698</v>
      </c>
      <c r="I95" s="21" t="s">
        <v>398</v>
      </c>
      <c r="J95" s="21" t="s">
        <v>39</v>
      </c>
      <c r="K95" s="16" t="s">
        <v>267</v>
      </c>
      <c r="L95" s="16" t="s">
        <v>849</v>
      </c>
      <c r="M95" t="s">
        <v>820</v>
      </c>
      <c r="N95" t="s">
        <v>399</v>
      </c>
      <c r="O95" t="s">
        <v>39</v>
      </c>
      <c r="P95" t="s">
        <v>39</v>
      </c>
      <c r="Q95">
        <v>96</v>
      </c>
      <c r="R95"/>
      <c r="S95" t="s">
        <v>71</v>
      </c>
      <c r="T95" s="1" t="s">
        <v>267</v>
      </c>
      <c r="U95" s="1">
        <v>2</v>
      </c>
      <c r="V95" t="s">
        <v>759</v>
      </c>
      <c r="W95" s="4" t="s">
        <v>915</v>
      </c>
      <c r="X95">
        <f>1-0.01</f>
        <v>0.99</v>
      </c>
      <c r="Y95">
        <f>1-0.01</f>
        <v>0.99</v>
      </c>
      <c r="Z95" s="1" t="s">
        <v>818</v>
      </c>
      <c r="AA95" s="1" t="s">
        <v>819</v>
      </c>
    </row>
    <row r="96" spans="1:30" ht="75" customHeight="1">
      <c r="A96" s="4" t="s">
        <v>546</v>
      </c>
      <c r="B96" s="4" t="s">
        <v>26</v>
      </c>
      <c r="C96" s="1"/>
      <c r="D96" s="1">
        <v>1</v>
      </c>
      <c r="E96" s="1">
        <v>2014</v>
      </c>
      <c r="F96" s="21" t="s">
        <v>828</v>
      </c>
      <c r="G96" t="s">
        <v>40</v>
      </c>
      <c r="H96" t="s">
        <v>823</v>
      </c>
      <c r="I96" s="37" t="s">
        <v>829</v>
      </c>
      <c r="J96" s="19"/>
      <c r="K96" s="16" t="s">
        <v>267</v>
      </c>
      <c r="L96" s="16" t="s">
        <v>849</v>
      </c>
      <c r="M96" t="s">
        <v>731</v>
      </c>
      <c r="N96" t="s">
        <v>39</v>
      </c>
      <c r="O96" t="s">
        <v>39</v>
      </c>
      <c r="P96" t="s">
        <v>826</v>
      </c>
      <c r="Q96" t="s">
        <v>138</v>
      </c>
      <c r="R96" t="s">
        <v>599</v>
      </c>
      <c r="S96" t="s">
        <v>827</v>
      </c>
      <c r="T96" s="6" t="s">
        <v>217</v>
      </c>
      <c r="U96" s="6"/>
      <c r="W96" s="21"/>
      <c r="X96"/>
      <c r="Y96"/>
      <c r="Z96" s="1" t="s">
        <v>824</v>
      </c>
      <c r="AA96" s="1" t="s">
        <v>825</v>
      </c>
      <c r="AC96" s="2" t="s">
        <v>956</v>
      </c>
    </row>
    <row r="97" spans="1:35" ht="141" customHeight="1">
      <c r="A97" s="4" t="s">
        <v>547</v>
      </c>
      <c r="B97" s="4" t="s">
        <v>122</v>
      </c>
      <c r="C97" s="6" t="s">
        <v>138</v>
      </c>
      <c r="D97" s="1">
        <v>10</v>
      </c>
      <c r="E97" s="1">
        <v>2005</v>
      </c>
      <c r="F97" s="21" t="s">
        <v>835</v>
      </c>
      <c r="G97" s="21" t="s">
        <v>40</v>
      </c>
      <c r="H97" t="s">
        <v>831</v>
      </c>
      <c r="I97" t="s">
        <v>832</v>
      </c>
      <c r="J97" t="s">
        <v>39</v>
      </c>
      <c r="K97" s="16" t="s">
        <v>217</v>
      </c>
      <c r="L97" t="s">
        <v>40</v>
      </c>
      <c r="M97" t="s">
        <v>833</v>
      </c>
      <c r="N97" t="s">
        <v>39</v>
      </c>
      <c r="O97" t="s">
        <v>39</v>
      </c>
      <c r="P97" t="s">
        <v>39</v>
      </c>
      <c r="Q97" s="18" t="s">
        <v>675</v>
      </c>
      <c r="R97" t="s">
        <v>217</v>
      </c>
      <c r="S97" t="s">
        <v>832</v>
      </c>
      <c r="T97" s="1" t="s">
        <v>267</v>
      </c>
      <c r="U97" s="1">
        <v>2</v>
      </c>
      <c r="V97" t="s">
        <v>435</v>
      </c>
      <c r="W97" s="4" t="s">
        <v>916</v>
      </c>
      <c r="X97">
        <f>3/4+0.5+0.02</f>
        <v>1.27</v>
      </c>
      <c r="Y97">
        <f>3/4+0.5+0.02</f>
        <v>1.27</v>
      </c>
      <c r="Z97" s="7" t="s">
        <v>202</v>
      </c>
      <c r="AA97" s="1" t="s">
        <v>201</v>
      </c>
      <c r="AC97" s="2" t="s">
        <v>834</v>
      </c>
    </row>
    <row r="98" spans="1:35" ht="75" customHeight="1">
      <c r="A98" s="4" t="s">
        <v>548</v>
      </c>
      <c r="C98" s="6"/>
      <c r="D98" s="1"/>
      <c r="E98" s="1"/>
      <c r="F98" s="21" t="s">
        <v>839</v>
      </c>
      <c r="G98" t="s">
        <v>40</v>
      </c>
      <c r="H98" t="s">
        <v>838</v>
      </c>
      <c r="I98" t="s">
        <v>55</v>
      </c>
      <c r="J98" t="s">
        <v>55</v>
      </c>
      <c r="K98" s="16"/>
      <c r="L98" t="s">
        <v>40</v>
      </c>
      <c r="M98" t="s">
        <v>40</v>
      </c>
      <c r="N98" t="s">
        <v>39</v>
      </c>
      <c r="O98" t="s">
        <v>39</v>
      </c>
      <c r="P98" t="s">
        <v>39</v>
      </c>
      <c r="Q98" t="s">
        <v>71</v>
      </c>
      <c r="R98" t="s">
        <v>648</v>
      </c>
      <c r="S98" t="s">
        <v>55</v>
      </c>
      <c r="T98" s="1" t="s">
        <v>217</v>
      </c>
      <c r="U98" s="1">
        <v>2</v>
      </c>
      <c r="V98" t="s">
        <v>348</v>
      </c>
      <c r="W98" s="8" t="s">
        <v>955</v>
      </c>
      <c r="X98">
        <f>0.5+0.04</f>
        <v>0.54</v>
      </c>
      <c r="Y98">
        <f>0.5*1.5+0.03</f>
        <v>0.78</v>
      </c>
      <c r="Z98" s="7">
        <v>291</v>
      </c>
      <c r="AA98" s="1" t="s">
        <v>837</v>
      </c>
      <c r="AC98" s="1" t="s">
        <v>830</v>
      </c>
    </row>
    <row r="99" spans="1:35" ht="75" customHeight="1">
      <c r="A99" s="4" t="s">
        <v>549</v>
      </c>
      <c r="B99" s="4" t="s">
        <v>136</v>
      </c>
      <c r="C99" s="1">
        <v>4.4701190000000004</v>
      </c>
      <c r="D99" s="1">
        <v>10</v>
      </c>
      <c r="E99" s="1">
        <v>2007</v>
      </c>
      <c r="F99" s="21" t="s">
        <v>836</v>
      </c>
      <c r="G99" t="s">
        <v>40</v>
      </c>
      <c r="H99" t="s">
        <v>700</v>
      </c>
      <c r="I99" s="17" t="s">
        <v>51</v>
      </c>
      <c r="J99" s="17" t="s">
        <v>51</v>
      </c>
      <c r="K99" s="16" t="s">
        <v>267</v>
      </c>
      <c r="L99" s="16" t="s">
        <v>849</v>
      </c>
      <c r="M99" t="s">
        <v>40</v>
      </c>
      <c r="N99" t="s">
        <v>39</v>
      </c>
      <c r="O99" t="s">
        <v>39</v>
      </c>
      <c r="P99" t="s">
        <v>39</v>
      </c>
      <c r="Q99" s="18" t="s">
        <v>345</v>
      </c>
      <c r="R99" t="s">
        <v>217</v>
      </c>
      <c r="S99" t="s">
        <v>51</v>
      </c>
      <c r="T99" s="1" t="s">
        <v>217</v>
      </c>
      <c r="U99" s="1">
        <v>2</v>
      </c>
      <c r="V99" t="s">
        <v>348</v>
      </c>
      <c r="W99" s="4" t="s">
        <v>897</v>
      </c>
      <c r="X99">
        <f>2/3+0.02</f>
        <v>0.68666666666666665</v>
      </c>
      <c r="Y99">
        <f>1.5*2/3+0.01</f>
        <v>1.01</v>
      </c>
      <c r="Z99" s="1" t="s">
        <v>198</v>
      </c>
      <c r="AA99" s="1" t="s">
        <v>199</v>
      </c>
    </row>
    <row r="100" spans="1:35" s="6" customFormat="1" ht="75" customHeight="1">
      <c r="A100" s="4" t="s">
        <v>550</v>
      </c>
      <c r="B100" s="4" t="s">
        <v>28</v>
      </c>
      <c r="C100" s="1"/>
      <c r="D100" s="1">
        <v>1</v>
      </c>
      <c r="E100" s="1">
        <v>2011</v>
      </c>
      <c r="F100" s="21" t="s">
        <v>917</v>
      </c>
      <c r="G100" t="s">
        <v>592</v>
      </c>
      <c r="H100" t="s">
        <v>729</v>
      </c>
      <c r="I100" s="21" t="s">
        <v>364</v>
      </c>
      <c r="J100" s="21" t="s">
        <v>39</v>
      </c>
      <c r="K100" s="16" t="s">
        <v>217</v>
      </c>
      <c r="L100" t="s">
        <v>730</v>
      </c>
      <c r="M100" t="s">
        <v>731</v>
      </c>
      <c r="N100" t="s">
        <v>39</v>
      </c>
      <c r="O100" t="s">
        <v>39</v>
      </c>
      <c r="P100" t="s">
        <v>39</v>
      </c>
      <c r="Q100" s="18" t="s">
        <v>436</v>
      </c>
      <c r="R100" t="s">
        <v>217</v>
      </c>
      <c r="S100" s="17" t="s">
        <v>364</v>
      </c>
      <c r="T100" s="1" t="s">
        <v>267</v>
      </c>
      <c r="U100" s="1">
        <v>2</v>
      </c>
      <c r="V100" t="s">
        <v>435</v>
      </c>
      <c r="W100" s="4" t="s">
        <v>918</v>
      </c>
      <c r="X100">
        <f>3/5+0.5 +0.03</f>
        <v>1.1300000000000001</v>
      </c>
      <c r="Y100">
        <f>3/5+0.5 +0.03</f>
        <v>1.1300000000000001</v>
      </c>
      <c r="Z100" s="1" t="s">
        <v>727</v>
      </c>
      <c r="AA100" s="1" t="s">
        <v>728</v>
      </c>
      <c r="AB100" s="1"/>
      <c r="AC100" s="1"/>
      <c r="AD100" s="1"/>
      <c r="AE100" s="1"/>
      <c r="AF100" s="1"/>
      <c r="AG100" s="1"/>
      <c r="AH100" s="1"/>
      <c r="AI100" s="1"/>
    </row>
    <row r="101" spans="1:35" ht="75" customHeight="1">
      <c r="A101" s="4" t="s">
        <v>551</v>
      </c>
      <c r="B101" s="4" t="s">
        <v>123</v>
      </c>
      <c r="C101" s="1">
        <v>3.910542</v>
      </c>
      <c r="D101" s="1">
        <v>7</v>
      </c>
      <c r="E101" s="1">
        <v>2014</v>
      </c>
      <c r="F101" s="21" t="s">
        <v>725</v>
      </c>
      <c r="G101" t="s">
        <v>723</v>
      </c>
      <c r="H101" t="s">
        <v>721</v>
      </c>
      <c r="I101" t="s">
        <v>51</v>
      </c>
      <c r="J101" t="s">
        <v>39</v>
      </c>
      <c r="K101" s="16" t="s">
        <v>217</v>
      </c>
      <c r="L101" t="s">
        <v>40</v>
      </c>
      <c r="M101" t="s">
        <v>726</v>
      </c>
      <c r="N101" t="s">
        <v>39</v>
      </c>
      <c r="O101" t="s">
        <v>39</v>
      </c>
      <c r="P101" t="s">
        <v>39</v>
      </c>
      <c r="Q101" s="18" t="s">
        <v>345</v>
      </c>
      <c r="R101" t="s">
        <v>217</v>
      </c>
      <c r="S101" s="17" t="s">
        <v>51</v>
      </c>
      <c r="T101" s="8" t="s">
        <v>267</v>
      </c>
      <c r="U101" s="8">
        <v>1</v>
      </c>
      <c r="V101" t="s">
        <v>341</v>
      </c>
      <c r="W101" s="4" t="s">
        <v>898</v>
      </c>
      <c r="X101">
        <f>2/3+0.02</f>
        <v>0.68666666666666665</v>
      </c>
      <c r="Y101">
        <f>2/3+0.02</f>
        <v>0.68666666666666665</v>
      </c>
      <c r="Z101" s="1" t="s">
        <v>157</v>
      </c>
      <c r="AA101" s="1" t="s">
        <v>156</v>
      </c>
      <c r="AC101" s="2" t="s">
        <v>722</v>
      </c>
      <c r="AD101" s="2" t="s">
        <v>724</v>
      </c>
      <c r="AH101" s="6"/>
      <c r="AI101" s="6"/>
    </row>
    <row r="102" spans="1:35" ht="75" customHeight="1">
      <c r="A102" s="4" t="s">
        <v>552</v>
      </c>
      <c r="B102" s="4" t="s">
        <v>124</v>
      </c>
      <c r="C102" s="1">
        <v>4.1835930000000001</v>
      </c>
      <c r="D102" s="1">
        <v>10</v>
      </c>
      <c r="E102" s="1">
        <v>2004</v>
      </c>
      <c r="F102" s="21" t="s">
        <v>715</v>
      </c>
      <c r="G102" t="s">
        <v>717</v>
      </c>
      <c r="H102" t="s">
        <v>716</v>
      </c>
      <c r="I102" s="21" t="s">
        <v>719</v>
      </c>
      <c r="J102" s="21" t="s">
        <v>719</v>
      </c>
      <c r="K102" s="16" t="s">
        <v>217</v>
      </c>
      <c r="L102" t="s">
        <v>40</v>
      </c>
      <c r="M102" t="s">
        <v>71</v>
      </c>
      <c r="N102" t="s">
        <v>39</v>
      </c>
      <c r="O102" t="s">
        <v>39</v>
      </c>
      <c r="P102" t="s">
        <v>39</v>
      </c>
      <c r="Q102" s="18" t="s">
        <v>345</v>
      </c>
      <c r="R102" t="s">
        <v>267</v>
      </c>
      <c r="S102" t="s">
        <v>39</v>
      </c>
      <c r="T102" s="6" t="s">
        <v>217</v>
      </c>
      <c r="U102" s="6">
        <v>1</v>
      </c>
      <c r="V102" t="s">
        <v>720</v>
      </c>
      <c r="W102" s="37">
        <v>0.5</v>
      </c>
      <c r="X102">
        <v>0.5</v>
      </c>
      <c r="Y102">
        <v>0.5</v>
      </c>
      <c r="Z102" s="1">
        <v>331</v>
      </c>
      <c r="AA102" s="6" t="s">
        <v>142</v>
      </c>
      <c r="AC102" s="35" t="s">
        <v>718</v>
      </c>
    </row>
    <row r="103" spans="1:35" ht="75" customHeight="1">
      <c r="A103" s="4" t="s">
        <v>29</v>
      </c>
      <c r="B103" s="4" t="s">
        <v>29</v>
      </c>
      <c r="C103" s="1"/>
      <c r="D103" s="1">
        <v>1</v>
      </c>
      <c r="E103" s="1">
        <v>1992</v>
      </c>
      <c r="F103" s="21" t="s">
        <v>714</v>
      </c>
      <c r="G103" t="s">
        <v>40</v>
      </c>
      <c r="H103" t="s">
        <v>700</v>
      </c>
      <c r="I103" s="17" t="s">
        <v>51</v>
      </c>
      <c r="J103" t="s">
        <v>51</v>
      </c>
      <c r="K103" s="16" t="s">
        <v>267</v>
      </c>
      <c r="L103" s="16" t="s">
        <v>849</v>
      </c>
      <c r="M103" t="s">
        <v>40</v>
      </c>
      <c r="N103" t="s">
        <v>39</v>
      </c>
      <c r="O103" t="s">
        <v>39</v>
      </c>
      <c r="P103" t="s">
        <v>713</v>
      </c>
      <c r="Q103">
        <v>99</v>
      </c>
      <c r="R103" t="s">
        <v>267</v>
      </c>
      <c r="S103" s="24" t="s">
        <v>51</v>
      </c>
      <c r="T103" s="1" t="s">
        <v>217</v>
      </c>
      <c r="U103" s="1">
        <v>3</v>
      </c>
      <c r="V103" t="s">
        <v>674</v>
      </c>
      <c r="W103" s="4" t="s">
        <v>899</v>
      </c>
      <c r="X103">
        <f>2/3+3/4</f>
        <v>1.4166666666666665</v>
      </c>
      <c r="Y103">
        <f>2/3*1.5+3/4-0.01</f>
        <v>1.74</v>
      </c>
      <c r="Z103" s="6">
        <v>5</v>
      </c>
      <c r="AA103" s="6" t="s">
        <v>63</v>
      </c>
      <c r="AC103" s="2" t="s">
        <v>802</v>
      </c>
    </row>
    <row r="104" spans="1:35" ht="75" customHeight="1">
      <c r="B104" s="4" t="s">
        <v>125</v>
      </c>
      <c r="C104" s="1">
        <v>4.2301960000000003</v>
      </c>
      <c r="D104" s="1">
        <v>5</v>
      </c>
      <c r="E104" s="1">
        <v>2009</v>
      </c>
      <c r="F104" s="21"/>
      <c r="G104"/>
      <c r="H104"/>
      <c r="I104"/>
      <c r="J104"/>
      <c r="K104" s="16" t="s">
        <v>217</v>
      </c>
      <c r="L104"/>
      <c r="M104"/>
      <c r="N104"/>
      <c r="O104"/>
      <c r="P104"/>
      <c r="Q104"/>
      <c r="R104"/>
      <c r="S104"/>
      <c r="T104" s="1" t="s">
        <v>267</v>
      </c>
      <c r="W104" s="21"/>
      <c r="X104"/>
      <c r="Y104"/>
      <c r="Z104" s="1" t="s">
        <v>192</v>
      </c>
      <c r="AA104" s="1" t="s">
        <v>193</v>
      </c>
      <c r="AF104" s="6"/>
      <c r="AG104" s="6"/>
    </row>
    <row r="105" spans="1:35" ht="75" customHeight="1">
      <c r="A105" s="4" t="s">
        <v>553</v>
      </c>
      <c r="B105" s="10" t="s">
        <v>134</v>
      </c>
      <c r="C105" s="6">
        <v>4.0600199999999997</v>
      </c>
      <c r="D105" s="6">
        <v>6</v>
      </c>
      <c r="E105" s="6" t="s">
        <v>241</v>
      </c>
      <c r="F105" s="21" t="s">
        <v>711</v>
      </c>
      <c r="G105" t="s">
        <v>710</v>
      </c>
      <c r="H105" t="s">
        <v>709</v>
      </c>
      <c r="I105" s="17" t="s">
        <v>51</v>
      </c>
      <c r="J105" t="s">
        <v>39</v>
      </c>
      <c r="K105" s="16" t="s">
        <v>217</v>
      </c>
      <c r="L105" t="s">
        <v>40</v>
      </c>
      <c r="M105" t="s">
        <v>712</v>
      </c>
      <c r="N105" t="s">
        <v>39</v>
      </c>
      <c r="O105" t="s">
        <v>39</v>
      </c>
      <c r="P105" t="s">
        <v>39</v>
      </c>
      <c r="Q105" s="18" t="s">
        <v>345</v>
      </c>
      <c r="R105" t="s">
        <v>217</v>
      </c>
      <c r="S105" t="s">
        <v>51</v>
      </c>
      <c r="T105" s="6" t="s">
        <v>267</v>
      </c>
      <c r="U105" s="6">
        <v>1</v>
      </c>
      <c r="V105" t="s">
        <v>341</v>
      </c>
      <c r="W105" s="42" t="s">
        <v>884</v>
      </c>
      <c r="X105">
        <f>2/3+0.01</f>
        <v>0.67666666666666664</v>
      </c>
      <c r="Y105">
        <f>2/3+0.01</f>
        <v>0.67666666666666664</v>
      </c>
      <c r="Z105" s="6" t="s">
        <v>243</v>
      </c>
      <c r="AA105" s="6" t="s">
        <v>242</v>
      </c>
      <c r="AB105" s="6"/>
      <c r="AC105" s="6"/>
      <c r="AD105" s="6"/>
      <c r="AE105" s="6"/>
    </row>
    <row r="106" spans="1:35" ht="75" customHeight="1">
      <c r="A106" s="4" t="s">
        <v>554</v>
      </c>
      <c r="B106" s="4" t="s">
        <v>126</v>
      </c>
      <c r="C106" s="1">
        <v>3.421462</v>
      </c>
      <c r="D106" s="1">
        <v>5</v>
      </c>
      <c r="E106" s="1">
        <v>2009</v>
      </c>
      <c r="F106" s="21" t="s">
        <v>702</v>
      </c>
      <c r="G106" t="s">
        <v>592</v>
      </c>
      <c r="H106" t="s">
        <v>700</v>
      </c>
      <c r="I106" t="s">
        <v>51</v>
      </c>
      <c r="J106" t="s">
        <v>39</v>
      </c>
      <c r="K106" s="16" t="s">
        <v>217</v>
      </c>
      <c r="L106" t="s">
        <v>40</v>
      </c>
      <c r="M106" t="s">
        <v>701</v>
      </c>
      <c r="N106" t="s">
        <v>39</v>
      </c>
      <c r="O106" t="s">
        <v>39</v>
      </c>
      <c r="P106" t="s">
        <v>39</v>
      </c>
      <c r="Q106" s="18" t="s">
        <v>345</v>
      </c>
      <c r="R106" t="s">
        <v>217</v>
      </c>
      <c r="S106" t="s">
        <v>51</v>
      </c>
      <c r="T106" s="1" t="s">
        <v>267</v>
      </c>
      <c r="U106" s="1">
        <v>1</v>
      </c>
      <c r="V106" t="s">
        <v>341</v>
      </c>
      <c r="W106" s="4" t="s">
        <v>900</v>
      </c>
      <c r="X106">
        <f>2/3 + 0.03</f>
        <v>0.69666666666666666</v>
      </c>
      <c r="Y106">
        <f>2/3 + 0.03</f>
        <v>0.69666666666666666</v>
      </c>
      <c r="Z106" s="1">
        <v>79</v>
      </c>
      <c r="AA106" s="1" t="s">
        <v>183</v>
      </c>
    </row>
    <row r="107" spans="1:35" ht="75" customHeight="1">
      <c r="C107" s="1"/>
      <c r="D107" s="1"/>
      <c r="E107" s="1"/>
      <c r="F107"/>
      <c r="G107"/>
      <c r="H107"/>
      <c r="I107" s="13"/>
      <c r="J107"/>
      <c r="K107"/>
      <c r="L107"/>
      <c r="M107"/>
      <c r="N107" s="13">
        <f>COUNTBLANK(N2:N106)</f>
        <v>14</v>
      </c>
      <c r="O107" s="13">
        <f>COUNTBLANK(O2:O106)</f>
        <v>13</v>
      </c>
      <c r="P107" s="13">
        <f>COUNTBLANK(P2:P106)</f>
        <v>13</v>
      </c>
      <c r="Q107" s="13">
        <f>COUNTBLANK(Q2:Q106)</f>
        <v>16</v>
      </c>
      <c r="R107" s="13">
        <f>COUNTBLANK(R2:R106)</f>
        <v>15</v>
      </c>
      <c r="S107"/>
      <c r="T107"/>
      <c r="U107"/>
      <c r="W107" s="21"/>
      <c r="X107"/>
      <c r="Y107" s="13">
        <f>COUNTBLANK(Y2:Y106)</f>
        <v>14</v>
      </c>
    </row>
    <row r="108" spans="1:35" ht="75" customHeight="1">
      <c r="C108" s="1" t="s">
        <v>184</v>
      </c>
      <c r="D108" s="1" t="s">
        <v>185</v>
      </c>
      <c r="E108" s="1"/>
      <c r="F108"/>
      <c r="G108"/>
      <c r="H108"/>
      <c r="I108" s="13"/>
      <c r="J108"/>
      <c r="K108"/>
      <c r="L108"/>
      <c r="M108"/>
      <c r="N108" s="13">
        <f>105-N107</f>
        <v>91</v>
      </c>
      <c r="O108" s="13">
        <f>105-O107</f>
        <v>92</v>
      </c>
      <c r="P108" s="13">
        <f>105-P107</f>
        <v>92</v>
      </c>
      <c r="Q108" s="13">
        <f>105-Q107</f>
        <v>89</v>
      </c>
      <c r="R108" s="13">
        <f>105-R107</f>
        <v>90</v>
      </c>
      <c r="S108"/>
      <c r="T108"/>
      <c r="U108"/>
      <c r="W108" s="21"/>
      <c r="X108"/>
      <c r="Y108" s="13">
        <f>105-Y107</f>
        <v>91</v>
      </c>
    </row>
    <row r="109" spans="1:35" ht="75" customHeight="1">
      <c r="C109" s="1" t="s">
        <v>186</v>
      </c>
      <c r="D109" s="1" t="s">
        <v>187</v>
      </c>
      <c r="E109" s="1"/>
      <c r="F109"/>
      <c r="G109"/>
      <c r="H109"/>
      <c r="I109" s="13"/>
      <c r="J109"/>
      <c r="K109"/>
      <c r="L109"/>
      <c r="M109"/>
      <c r="N109" s="13">
        <f>92-N108+1</f>
        <v>2</v>
      </c>
      <c r="O109" s="13">
        <f>92-O108+1</f>
        <v>1</v>
      </c>
      <c r="P109" s="13">
        <f>92-P108+1</f>
        <v>1</v>
      </c>
      <c r="Q109" s="13">
        <f>92-Q108+1</f>
        <v>4</v>
      </c>
      <c r="R109" s="13">
        <f>92-R108+1</f>
        <v>3</v>
      </c>
      <c r="S109"/>
      <c r="T109"/>
      <c r="U109"/>
      <c r="W109" s="21"/>
      <c r="X109"/>
      <c r="Y109" s="13">
        <f>92-Y108+1</f>
        <v>2</v>
      </c>
    </row>
    <row r="110" spans="1:35" ht="75" customHeight="1">
      <c r="C110" s="1"/>
      <c r="D110" s="1"/>
      <c r="E110" s="1"/>
      <c r="F110" s="1"/>
    </row>
    <row r="111" spans="1:35" ht="75" customHeight="1">
      <c r="C111" s="1"/>
      <c r="D111" s="1"/>
      <c r="E111" s="1"/>
      <c r="F111" s="1"/>
    </row>
    <row r="112" spans="1:35" ht="75" customHeight="1">
      <c r="C112" s="1"/>
      <c r="D112" s="1"/>
      <c r="E112" s="1"/>
      <c r="F112" s="1"/>
    </row>
    <row r="113" s="1" customFormat="1" ht="75" customHeight="1"/>
    <row r="114" s="1" customFormat="1" ht="75" customHeight="1"/>
    <row r="115" s="1" customFormat="1" ht="75" customHeight="1"/>
    <row r="116" s="1" customFormat="1" ht="75" customHeight="1"/>
  </sheetData>
  <sortState xmlns:xlrd2="http://schemas.microsoft.com/office/spreadsheetml/2017/richdata2" ref="B2:U112">
    <sortCondition ref="B1"/>
  </sortState>
  <phoneticPr fontId="2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3"/>
  <sheetViews>
    <sheetView workbookViewId="0">
      <selection activeCell="B2" sqref="B2"/>
    </sheetView>
  </sheetViews>
  <sheetFormatPr defaultColWidth="10.81640625" defaultRowHeight="19.2"/>
  <cols>
    <col min="1" max="1" width="10.81640625" style="45"/>
    <col min="2" max="2" width="19.1796875" style="12" customWidth="1"/>
  </cols>
  <sheetData>
    <row r="1" spans="1:6" ht="38.4">
      <c r="B1" s="14" t="s">
        <v>253</v>
      </c>
    </row>
    <row r="2" spans="1:6">
      <c r="A2" s="50" t="s">
        <v>72</v>
      </c>
      <c r="B2" s="21">
        <v>0.67666666666666664</v>
      </c>
      <c r="C2" t="s">
        <v>994</v>
      </c>
      <c r="D2" t="s">
        <v>259</v>
      </c>
      <c r="E2" t="s">
        <v>260</v>
      </c>
      <c r="F2" t="str">
        <f t="shared" ref="F2:F33" si="0">CONCATENATE(C2,B2,D2,A2,E2)</f>
        <v>replace vp_rigid=0.676666666666667 if country=="Albania"</v>
      </c>
    </row>
    <row r="3" spans="1:6">
      <c r="A3" s="47" t="s">
        <v>73</v>
      </c>
      <c r="B3" s="21">
        <v>1.1766666666666665</v>
      </c>
      <c r="C3" t="s">
        <v>994</v>
      </c>
      <c r="D3" t="s">
        <v>259</v>
      </c>
      <c r="E3" t="s">
        <v>260</v>
      </c>
      <c r="F3" t="str">
        <f t="shared" si="0"/>
        <v>replace vp_rigid=1.17666666666667 if country=="Argentina"</v>
      </c>
    </row>
    <row r="4" spans="1:6">
      <c r="A4" s="47" t="s">
        <v>0</v>
      </c>
      <c r="B4" s="21">
        <v>1.03</v>
      </c>
      <c r="C4" t="s">
        <v>994</v>
      </c>
      <c r="D4" t="s">
        <v>259</v>
      </c>
      <c r="E4" t="s">
        <v>260</v>
      </c>
      <c r="F4" t="str">
        <f t="shared" si="0"/>
        <v>replace vp_rigid=1.03 if country=="Australia"</v>
      </c>
    </row>
    <row r="5" spans="1:6">
      <c r="A5" s="47" t="s">
        <v>1</v>
      </c>
      <c r="B5" s="21">
        <v>0.66666666666666663</v>
      </c>
      <c r="C5" t="s">
        <v>994</v>
      </c>
      <c r="D5" t="s">
        <v>259</v>
      </c>
      <c r="E5" t="s">
        <v>260</v>
      </c>
      <c r="F5" t="str">
        <f t="shared" si="0"/>
        <v>replace vp_rigid=0.666666666666667 if country=="Austria"</v>
      </c>
    </row>
    <row r="6" spans="1:6">
      <c r="A6" s="47" t="s">
        <v>2</v>
      </c>
      <c r="B6" s="21">
        <v>0.68666666666666665</v>
      </c>
      <c r="C6" t="s">
        <v>994</v>
      </c>
      <c r="D6" t="s">
        <v>259</v>
      </c>
      <c r="E6" t="s">
        <v>260</v>
      </c>
      <c r="F6" t="str">
        <f t="shared" si="0"/>
        <v>replace vp_rigid=0.686666666666667 if country=="Belgium"</v>
      </c>
    </row>
    <row r="7" spans="1:6">
      <c r="A7" s="47" t="s">
        <v>76</v>
      </c>
      <c r="B7" s="21">
        <v>1.25</v>
      </c>
      <c r="C7" t="s">
        <v>994</v>
      </c>
      <c r="D7" t="s">
        <v>259</v>
      </c>
      <c r="E7" t="s">
        <v>260</v>
      </c>
      <c r="F7" t="str">
        <f t="shared" si="0"/>
        <v>replace vp_rigid=1.25 if country=="Benin"</v>
      </c>
    </row>
    <row r="8" spans="1:6">
      <c r="A8" s="50" t="s">
        <v>79</v>
      </c>
      <c r="B8" s="21">
        <v>1.1666666666666665</v>
      </c>
      <c r="C8" t="s">
        <v>994</v>
      </c>
      <c r="D8" t="s">
        <v>259</v>
      </c>
      <c r="E8" t="s">
        <v>260</v>
      </c>
      <c r="F8" t="str">
        <f t="shared" si="0"/>
        <v>replace vp_rigid=1.16666666666667 if country=="Bolivia"</v>
      </c>
    </row>
    <row r="9" spans="1:6">
      <c r="A9" s="50" t="s">
        <v>81</v>
      </c>
      <c r="B9" s="32">
        <v>0.66666666666666663</v>
      </c>
      <c r="C9" t="s">
        <v>994</v>
      </c>
      <c r="D9" t="s">
        <v>259</v>
      </c>
      <c r="E9" t="s">
        <v>260</v>
      </c>
      <c r="F9" t="str">
        <f t="shared" si="0"/>
        <v>replace vp_rigid=0.666666666666667 if country=="Botswana"</v>
      </c>
    </row>
    <row r="10" spans="1:6">
      <c r="A10" s="47" t="s">
        <v>80</v>
      </c>
      <c r="B10" s="21">
        <v>0.62</v>
      </c>
      <c r="C10" t="s">
        <v>994</v>
      </c>
      <c r="D10" t="s">
        <v>259</v>
      </c>
      <c r="E10" t="s">
        <v>260</v>
      </c>
      <c r="F10" t="str">
        <f t="shared" si="0"/>
        <v>replace vp_rigid=0.62 if country=="Brazil"</v>
      </c>
    </row>
    <row r="11" spans="1:6">
      <c r="A11" s="47" t="s">
        <v>78</v>
      </c>
      <c r="B11" s="21">
        <v>0.77</v>
      </c>
      <c r="C11" t="s">
        <v>994</v>
      </c>
      <c r="D11" t="s">
        <v>259</v>
      </c>
      <c r="E11" t="s">
        <v>260</v>
      </c>
      <c r="F11" t="str">
        <f t="shared" si="0"/>
        <v>replace vp_rigid=0.77 if country=="Bulgaria"</v>
      </c>
    </row>
    <row r="12" spans="1:6">
      <c r="A12" s="47" t="s">
        <v>75</v>
      </c>
      <c r="B12" s="21">
        <v>0.82000000000000006</v>
      </c>
      <c r="C12" t="s">
        <v>994</v>
      </c>
      <c r="D12" t="s">
        <v>259</v>
      </c>
      <c r="E12" t="s">
        <v>260</v>
      </c>
      <c r="F12" t="str">
        <f t="shared" si="0"/>
        <v>replace vp_rigid=0.82 if country=="Burundi"</v>
      </c>
    </row>
    <row r="13" spans="1:6">
      <c r="A13" s="47" t="s">
        <v>3</v>
      </c>
      <c r="B13" s="21">
        <v>1.1666666666666665</v>
      </c>
      <c r="C13" t="s">
        <v>994</v>
      </c>
      <c r="D13" t="s">
        <v>259</v>
      </c>
      <c r="E13" t="s">
        <v>260</v>
      </c>
      <c r="F13" t="str">
        <f t="shared" si="0"/>
        <v>replace vp_rigid=1.16666666666667 if country=="Canada"</v>
      </c>
    </row>
    <row r="14" spans="1:6">
      <c r="A14" s="47" t="s">
        <v>127</v>
      </c>
      <c r="B14" s="21">
        <v>0.66666666666666663</v>
      </c>
      <c r="C14" t="s">
        <v>994</v>
      </c>
      <c r="D14" t="s">
        <v>259</v>
      </c>
      <c r="E14" t="s">
        <v>260</v>
      </c>
      <c r="F14" t="str">
        <f t="shared" si="0"/>
        <v>replace vp_rigid=0.666666666666667 if country=="Cape Verde"</v>
      </c>
    </row>
    <row r="15" spans="1:6">
      <c r="A15" s="47" t="s">
        <v>4</v>
      </c>
      <c r="B15" s="21">
        <v>1.1100000000000001</v>
      </c>
      <c r="C15" t="s">
        <v>994</v>
      </c>
      <c r="D15" t="s">
        <v>259</v>
      </c>
      <c r="E15" t="s">
        <v>260</v>
      </c>
      <c r="F15" t="str">
        <f t="shared" si="0"/>
        <v>replace vp_rigid=1.11 if country=="Chile"</v>
      </c>
    </row>
    <row r="16" spans="1:6">
      <c r="A16" s="47" t="s">
        <v>82</v>
      </c>
      <c r="B16" s="21">
        <v>0.5</v>
      </c>
      <c r="C16" t="s">
        <v>994</v>
      </c>
      <c r="D16" t="s">
        <v>259</v>
      </c>
      <c r="E16" t="s">
        <v>260</v>
      </c>
      <c r="F16" t="str">
        <f t="shared" si="0"/>
        <v>replace vp_rigid=0.5 if country=="Colombia"</v>
      </c>
    </row>
    <row r="17" spans="1:6">
      <c r="A17" s="47" t="s">
        <v>650</v>
      </c>
      <c r="B17" s="21">
        <v>1.3333333333333333</v>
      </c>
      <c r="C17" t="s">
        <v>994</v>
      </c>
      <c r="D17" t="s">
        <v>259</v>
      </c>
      <c r="E17" t="s">
        <v>260</v>
      </c>
      <c r="F17" t="str">
        <f t="shared" si="0"/>
        <v>replace vp_rigid=1.33333333333333 if country=="Comoros"</v>
      </c>
    </row>
    <row r="18" spans="1:6">
      <c r="A18" s="47" t="s">
        <v>128</v>
      </c>
      <c r="B18" s="21">
        <v>1.1866666666666665</v>
      </c>
      <c r="C18" t="s">
        <v>994</v>
      </c>
      <c r="D18" t="s">
        <v>259</v>
      </c>
      <c r="E18" t="s">
        <v>260</v>
      </c>
      <c r="F18" t="str">
        <f t="shared" si="0"/>
        <v>replace vp_rigid=1.18666666666667 if country=="Costa Rica"</v>
      </c>
    </row>
    <row r="19" spans="1:6">
      <c r="A19" s="47" t="s">
        <v>91</v>
      </c>
      <c r="B19" s="8">
        <v>0.69666666666666666</v>
      </c>
      <c r="C19" t="s">
        <v>994</v>
      </c>
      <c r="D19" t="s">
        <v>259</v>
      </c>
      <c r="E19" t="s">
        <v>260</v>
      </c>
      <c r="F19" t="str">
        <f t="shared" si="0"/>
        <v>replace vp_rigid=0.696666666666667 if country=="Croatia"</v>
      </c>
    </row>
    <row r="20" spans="1:6">
      <c r="A20" s="47" t="s">
        <v>83</v>
      </c>
      <c r="B20" s="32">
        <v>1.3433333333333333</v>
      </c>
      <c r="C20" t="s">
        <v>994</v>
      </c>
      <c r="D20" t="s">
        <v>259</v>
      </c>
      <c r="E20" t="s">
        <v>260</v>
      </c>
      <c r="F20" t="str">
        <f t="shared" si="0"/>
        <v>replace vp_rigid=1.34333333333333 if country=="Cyprus"</v>
      </c>
    </row>
    <row r="21" spans="1:6">
      <c r="A21" s="50" t="s">
        <v>5</v>
      </c>
      <c r="B21" s="21">
        <v>0.62</v>
      </c>
      <c r="C21" t="s">
        <v>994</v>
      </c>
      <c r="D21" t="s">
        <v>259</v>
      </c>
      <c r="E21" t="s">
        <v>260</v>
      </c>
      <c r="F21" t="str">
        <f t="shared" si="0"/>
        <v>replace vp_rigid=0.62 if country=="Czech Republic"</v>
      </c>
    </row>
    <row r="22" spans="1:6">
      <c r="A22" s="50" t="s">
        <v>6</v>
      </c>
      <c r="B22" s="21">
        <v>1.51</v>
      </c>
      <c r="C22" t="s">
        <v>994</v>
      </c>
      <c r="D22" t="s">
        <v>259</v>
      </c>
      <c r="E22" t="s">
        <v>260</v>
      </c>
      <c r="F22" t="str">
        <f t="shared" si="0"/>
        <v>replace vp_rigid=1.51 if country=="Denmark"</v>
      </c>
    </row>
    <row r="23" spans="1:6">
      <c r="A23" s="47" t="s">
        <v>129</v>
      </c>
      <c r="B23" s="21">
        <v>0.69666666666666666</v>
      </c>
      <c r="C23" t="s">
        <v>994</v>
      </c>
      <c r="D23" t="s">
        <v>259</v>
      </c>
      <c r="E23" t="s">
        <v>260</v>
      </c>
      <c r="F23" t="str">
        <f t="shared" si="0"/>
        <v>replace vp_rigid=0.696666666666667 if country=="Dominican Republic"</v>
      </c>
    </row>
    <row r="24" spans="1:6">
      <c r="A24" s="47" t="s">
        <v>135</v>
      </c>
      <c r="B24" s="21">
        <v>0.66666666666666663</v>
      </c>
      <c r="C24" t="s">
        <v>994</v>
      </c>
      <c r="D24" t="s">
        <v>259</v>
      </c>
      <c r="E24" t="s">
        <v>260</v>
      </c>
      <c r="F24" t="str">
        <f t="shared" si="0"/>
        <v>replace vp_rigid=0.666666666666667 if country=="East Timor"</v>
      </c>
    </row>
    <row r="25" spans="1:6">
      <c r="A25" s="47" t="s">
        <v>133</v>
      </c>
      <c r="B25" s="21">
        <v>0.67666666666666664</v>
      </c>
      <c r="C25" t="s">
        <v>994</v>
      </c>
      <c r="D25" t="s">
        <v>259</v>
      </c>
      <c r="E25" t="s">
        <v>260</v>
      </c>
      <c r="F25" t="str">
        <f t="shared" si="0"/>
        <v>replace vp_rigid=0.676666666666667 if country=="El Salvador"</v>
      </c>
    </row>
    <row r="26" spans="1:6">
      <c r="A26" s="47" t="s">
        <v>7</v>
      </c>
      <c r="B26" s="21">
        <v>1.1100000000000001</v>
      </c>
      <c r="C26" t="s">
        <v>994</v>
      </c>
      <c r="D26" t="s">
        <v>259</v>
      </c>
      <c r="E26" t="s">
        <v>260</v>
      </c>
      <c r="F26" t="str">
        <f t="shared" si="0"/>
        <v>replace vp_rigid=1.11 if country=="Estonia"</v>
      </c>
    </row>
    <row r="27" spans="1:6">
      <c r="A27" s="47" t="s">
        <v>8</v>
      </c>
      <c r="B27" s="21">
        <v>1.1566666666666665</v>
      </c>
      <c r="C27" t="s">
        <v>994</v>
      </c>
      <c r="D27" t="s">
        <v>259</v>
      </c>
      <c r="E27" t="s">
        <v>260</v>
      </c>
      <c r="F27" t="str">
        <f t="shared" si="0"/>
        <v>replace vp_rigid=1.15666666666667 if country=="Finland"</v>
      </c>
    </row>
    <row r="28" spans="1:6">
      <c r="A28" s="47" t="s">
        <v>9</v>
      </c>
      <c r="B28" s="21">
        <v>1.01</v>
      </c>
      <c r="C28" t="s">
        <v>994</v>
      </c>
      <c r="D28" t="s">
        <v>259</v>
      </c>
      <c r="E28" t="s">
        <v>260</v>
      </c>
      <c r="F28" t="str">
        <f t="shared" si="0"/>
        <v>replace vp_rigid=1.01 if country=="France"</v>
      </c>
    </row>
    <row r="29" spans="1:6">
      <c r="A29" s="47" t="s">
        <v>85</v>
      </c>
      <c r="B29" s="21">
        <v>0.69666666666666666</v>
      </c>
      <c r="C29" t="s">
        <v>994</v>
      </c>
      <c r="D29" t="s">
        <v>259</v>
      </c>
      <c r="E29" t="s">
        <v>260</v>
      </c>
      <c r="F29" t="str">
        <f t="shared" si="0"/>
        <v>replace vp_rigid=0.696666666666667 if country=="Georgia"</v>
      </c>
    </row>
    <row r="30" spans="1:6">
      <c r="A30" s="47" t="s">
        <v>655</v>
      </c>
      <c r="B30" s="21">
        <v>0.68666666666666665</v>
      </c>
      <c r="C30" t="s">
        <v>994</v>
      </c>
      <c r="D30" t="s">
        <v>259</v>
      </c>
      <c r="E30" t="s">
        <v>260</v>
      </c>
      <c r="F30" t="str">
        <f t="shared" si="0"/>
        <v>replace vp_rigid=0.686666666666667 if country=="German Federal Republic"</v>
      </c>
    </row>
    <row r="31" spans="1:6">
      <c r="A31" s="47" t="s">
        <v>86</v>
      </c>
      <c r="B31" s="32">
        <v>0.70666666666666667</v>
      </c>
      <c r="C31" t="s">
        <v>994</v>
      </c>
      <c r="D31" t="s">
        <v>259</v>
      </c>
      <c r="E31" t="s">
        <v>260</v>
      </c>
      <c r="F31" t="str">
        <f t="shared" si="0"/>
        <v>replace vp_rigid=0.706666666666667 if country=="Ghana"</v>
      </c>
    </row>
    <row r="32" spans="1:6">
      <c r="A32" s="47" t="s">
        <v>10</v>
      </c>
      <c r="B32" s="21">
        <v>1.1099999999999999</v>
      </c>
      <c r="C32" t="s">
        <v>994</v>
      </c>
      <c r="D32" t="s">
        <v>259</v>
      </c>
      <c r="E32" t="s">
        <v>260</v>
      </c>
      <c r="F32" t="str">
        <f t="shared" si="0"/>
        <v>replace vp_rigid=1.11 if country=="Greece"</v>
      </c>
    </row>
    <row r="33" spans="1:6">
      <c r="A33" s="47" t="s">
        <v>88</v>
      </c>
      <c r="B33" s="21">
        <v>1.1766666666666665</v>
      </c>
      <c r="C33" t="s">
        <v>994</v>
      </c>
      <c r="D33" t="s">
        <v>259</v>
      </c>
      <c r="E33" t="s">
        <v>260</v>
      </c>
      <c r="F33" t="str">
        <f t="shared" si="0"/>
        <v>replace vp_rigid=1.17666666666667 if country=="Guatemala"</v>
      </c>
    </row>
    <row r="34" spans="1:6">
      <c r="A34" s="47" t="s">
        <v>89</v>
      </c>
      <c r="B34" s="21">
        <v>1</v>
      </c>
      <c r="C34" t="s">
        <v>994</v>
      </c>
      <c r="D34" t="s">
        <v>259</v>
      </c>
      <c r="E34" t="s">
        <v>260</v>
      </c>
      <c r="F34" t="str">
        <f t="shared" ref="F34:F65" si="1">CONCATENATE(C34,B34,D34,A34,E34)</f>
        <v>replace vp_rigid=1 if country=="Guyana"</v>
      </c>
    </row>
    <row r="35" spans="1:6">
      <c r="A35" s="47" t="s">
        <v>90</v>
      </c>
      <c r="B35" s="21">
        <v>0.67666666666666664</v>
      </c>
      <c r="C35" t="s">
        <v>994</v>
      </c>
      <c r="D35" t="s">
        <v>259</v>
      </c>
      <c r="E35" t="s">
        <v>260</v>
      </c>
      <c r="F35" t="str">
        <f t="shared" si="1"/>
        <v>replace vp_rigid=0.676666666666667 if country=="Honduras"</v>
      </c>
    </row>
    <row r="36" spans="1:6">
      <c r="A36" s="50" t="s">
        <v>11</v>
      </c>
      <c r="B36" s="32">
        <v>0.67666666666666664</v>
      </c>
      <c r="C36" t="s">
        <v>994</v>
      </c>
      <c r="D36" t="s">
        <v>259</v>
      </c>
      <c r="E36" t="s">
        <v>260</v>
      </c>
      <c r="F36" t="str">
        <f t="shared" si="1"/>
        <v>replace vp_rigid=0.676666666666667 if country=="Hungary"</v>
      </c>
    </row>
    <row r="37" spans="1:6">
      <c r="A37" s="47" t="s">
        <v>12</v>
      </c>
      <c r="B37" s="21">
        <v>1.01</v>
      </c>
      <c r="C37" t="s">
        <v>994</v>
      </c>
      <c r="D37" t="s">
        <v>259</v>
      </c>
      <c r="E37" t="s">
        <v>260</v>
      </c>
      <c r="F37" t="str">
        <f t="shared" si="1"/>
        <v>replace vp_rigid=1.01 if country=="Iceland"</v>
      </c>
    </row>
    <row r="38" spans="1:6">
      <c r="A38" s="47" t="s">
        <v>94</v>
      </c>
      <c r="B38" s="21">
        <v>0.53</v>
      </c>
      <c r="C38" t="s">
        <v>994</v>
      </c>
      <c r="D38" t="s">
        <v>259</v>
      </c>
      <c r="E38" t="s">
        <v>260</v>
      </c>
      <c r="F38" t="str">
        <f t="shared" si="1"/>
        <v>replace vp_rigid=0.53 if country=="India"</v>
      </c>
    </row>
    <row r="39" spans="1:6">
      <c r="A39" s="47" t="s">
        <v>93</v>
      </c>
      <c r="B39" s="21">
        <v>0.52</v>
      </c>
      <c r="C39" t="s">
        <v>994</v>
      </c>
      <c r="D39" t="s">
        <v>259</v>
      </c>
      <c r="E39" t="s">
        <v>260</v>
      </c>
      <c r="F39" t="str">
        <f t="shared" si="1"/>
        <v>replace vp_rigid=0.52 if country=="Indonesia"</v>
      </c>
    </row>
    <row r="40" spans="1:6">
      <c r="A40" s="47" t="s">
        <v>13</v>
      </c>
      <c r="B40" s="21">
        <v>1.01</v>
      </c>
      <c r="C40" t="s">
        <v>994</v>
      </c>
      <c r="D40" t="s">
        <v>259</v>
      </c>
      <c r="E40" t="s">
        <v>260</v>
      </c>
      <c r="F40" t="str">
        <f t="shared" si="1"/>
        <v>replace vp_rigid=1.01 if country=="Ireland"</v>
      </c>
    </row>
    <row r="41" spans="1:6">
      <c r="A41" s="50" t="s">
        <v>651</v>
      </c>
      <c r="B41" s="21">
        <v>1.03</v>
      </c>
      <c r="C41" t="s">
        <v>994</v>
      </c>
      <c r="D41" t="s">
        <v>259</v>
      </c>
      <c r="E41" t="s">
        <v>260</v>
      </c>
      <c r="F41" t="str">
        <f t="shared" si="1"/>
        <v>replace vp_rigid=1.03 if country=="Italy/Sardinia"</v>
      </c>
    </row>
    <row r="42" spans="1:6">
      <c r="A42" s="50" t="s">
        <v>95</v>
      </c>
      <c r="B42" s="21">
        <v>0.53</v>
      </c>
      <c r="C42" t="s">
        <v>994</v>
      </c>
      <c r="D42" t="s">
        <v>259</v>
      </c>
      <c r="E42" t="s">
        <v>260</v>
      </c>
      <c r="F42" t="str">
        <f t="shared" si="1"/>
        <v>replace vp_rigid=0.53 if country=="Jamaica"</v>
      </c>
    </row>
    <row r="43" spans="1:6">
      <c r="A43" s="47" t="s">
        <v>14</v>
      </c>
      <c r="B43" s="21">
        <v>1.1866666666666665</v>
      </c>
      <c r="C43" t="s">
        <v>994</v>
      </c>
      <c r="D43" t="s">
        <v>259</v>
      </c>
      <c r="E43" t="s">
        <v>260</v>
      </c>
      <c r="F43" t="str">
        <f t="shared" si="1"/>
        <v>replace vp_rigid=1.18666666666667 if country=="Japan"</v>
      </c>
    </row>
    <row r="44" spans="1:6">
      <c r="A44" s="47" t="s">
        <v>96</v>
      </c>
      <c r="B44" s="21">
        <v>0.70666666666666667</v>
      </c>
      <c r="C44" t="s">
        <v>994</v>
      </c>
      <c r="D44" t="s">
        <v>259</v>
      </c>
      <c r="E44" t="s">
        <v>260</v>
      </c>
      <c r="F44" t="str">
        <f t="shared" si="1"/>
        <v>replace vp_rigid=0.706666666666667 if country=="Kenya"</v>
      </c>
    </row>
    <row r="45" spans="1:6">
      <c r="A45" s="47" t="s">
        <v>15</v>
      </c>
      <c r="B45" s="21">
        <v>1.1966666666666665</v>
      </c>
      <c r="C45" t="s">
        <v>994</v>
      </c>
      <c r="D45" t="s">
        <v>259</v>
      </c>
      <c r="E45" t="s">
        <v>260</v>
      </c>
      <c r="F45" t="str">
        <f t="shared" si="1"/>
        <v>replace vp_rigid=1.19666666666667 if country=="Korea, Republic Of"</v>
      </c>
    </row>
    <row r="46" spans="1:6">
      <c r="A46" s="47" t="s">
        <v>656</v>
      </c>
      <c r="B46" s="21">
        <v>0.70666666666666667</v>
      </c>
      <c r="C46" t="s">
        <v>994</v>
      </c>
      <c r="D46" t="s">
        <v>259</v>
      </c>
      <c r="E46" t="s">
        <v>260</v>
      </c>
      <c r="F46" t="str">
        <f t="shared" si="1"/>
        <v>replace vp_rigid=0.706666666666667 if country=="Kyrgyz Republic"</v>
      </c>
    </row>
    <row r="47" spans="1:6">
      <c r="A47" s="47" t="s">
        <v>101</v>
      </c>
      <c r="B47" s="21">
        <v>0.68666666666666665</v>
      </c>
      <c r="C47" t="s">
        <v>994</v>
      </c>
      <c r="D47" t="s">
        <v>259</v>
      </c>
      <c r="E47" t="s">
        <v>260</v>
      </c>
      <c r="F47" t="str">
        <f t="shared" si="1"/>
        <v>replace vp_rigid=0.686666666666667 if country=="Latvia"</v>
      </c>
    </row>
    <row r="48" spans="1:6">
      <c r="A48" s="47" t="s">
        <v>97</v>
      </c>
      <c r="B48" s="21">
        <v>0.68666666666666665</v>
      </c>
      <c r="C48" t="s">
        <v>994</v>
      </c>
      <c r="D48" t="s">
        <v>259</v>
      </c>
      <c r="E48" t="s">
        <v>260</v>
      </c>
      <c r="F48" t="str">
        <f t="shared" si="1"/>
        <v>replace vp_rigid=0.686666666666667 if country=="Lebanon"</v>
      </c>
    </row>
    <row r="49" spans="1:6">
      <c r="A49" s="47" t="s">
        <v>99</v>
      </c>
      <c r="B49" s="21">
        <v>1.01</v>
      </c>
      <c r="C49" t="s">
        <v>994</v>
      </c>
      <c r="D49" t="s">
        <v>259</v>
      </c>
      <c r="E49" t="s">
        <v>260</v>
      </c>
      <c r="F49" t="str">
        <f t="shared" si="1"/>
        <v>replace vp_rigid=1.01 if country=="Lesotho"</v>
      </c>
    </row>
    <row r="50" spans="1:6">
      <c r="A50" s="47" t="s">
        <v>98</v>
      </c>
      <c r="B50" s="21">
        <v>1.3733333333333333</v>
      </c>
      <c r="C50" t="s">
        <v>994</v>
      </c>
      <c r="D50" t="s">
        <v>259</v>
      </c>
      <c r="E50" t="s">
        <v>260</v>
      </c>
      <c r="F50" t="str">
        <f t="shared" si="1"/>
        <v>replace vp_rigid=1.37333333333333 if country=="Liberia"</v>
      </c>
    </row>
    <row r="51" spans="1:6">
      <c r="A51" s="47" t="s">
        <v>100</v>
      </c>
      <c r="B51" s="21">
        <v>0.69666666666666666</v>
      </c>
      <c r="C51" t="s">
        <v>994</v>
      </c>
      <c r="D51" t="s">
        <v>259</v>
      </c>
      <c r="E51" t="s">
        <v>260</v>
      </c>
      <c r="F51" t="str">
        <f t="shared" si="1"/>
        <v>replace vp_rigid=0.696666666666667 if country=="Lithuania"</v>
      </c>
    </row>
    <row r="52" spans="1:6">
      <c r="A52" s="47" t="s">
        <v>16</v>
      </c>
      <c r="B52" s="21">
        <v>0.68666666666666665</v>
      </c>
      <c r="C52" t="s">
        <v>994</v>
      </c>
      <c r="D52" t="s">
        <v>259</v>
      </c>
      <c r="E52" t="s">
        <v>260</v>
      </c>
      <c r="F52" t="str">
        <f t="shared" si="1"/>
        <v>replace vp_rigid=0.686666666666667 if country=="Luxembourg"</v>
      </c>
    </row>
    <row r="53" spans="1:6">
      <c r="A53" s="47" t="s">
        <v>658</v>
      </c>
      <c r="B53" s="21">
        <v>0.68666666666666665</v>
      </c>
      <c r="C53" t="s">
        <v>994</v>
      </c>
      <c r="D53" t="s">
        <v>259</v>
      </c>
      <c r="E53" t="s">
        <v>260</v>
      </c>
      <c r="F53" t="str">
        <f t="shared" si="1"/>
        <v>replace vp_rigid=0.686666666666667 if country=="Macedonia (Former Yugoslav Republic Of)"</v>
      </c>
    </row>
    <row r="54" spans="1:6">
      <c r="A54" s="50" t="s">
        <v>110</v>
      </c>
      <c r="B54" s="21">
        <v>0.67666666666666664</v>
      </c>
      <c r="C54" t="s">
        <v>994</v>
      </c>
      <c r="D54" t="s">
        <v>259</v>
      </c>
      <c r="E54" t="s">
        <v>260</v>
      </c>
      <c r="F54" t="str">
        <f t="shared" si="1"/>
        <v>replace vp_rigid=0.676666666666667 if country=="Malawi"</v>
      </c>
    </row>
    <row r="55" spans="1:6">
      <c r="A55" s="47" t="s">
        <v>652</v>
      </c>
      <c r="B55" s="21">
        <v>0.69666666666666666</v>
      </c>
      <c r="C55" t="s">
        <v>994</v>
      </c>
      <c r="D55" t="s">
        <v>259</v>
      </c>
      <c r="E55" t="s">
        <v>260</v>
      </c>
      <c r="F55" t="str">
        <f t="shared" si="1"/>
        <v>replace vp_rigid=0.696666666666667 if country=="Malaysia"</v>
      </c>
    </row>
    <row r="56" spans="1:6">
      <c r="A56" s="47" t="s">
        <v>109</v>
      </c>
      <c r="B56" s="21">
        <v>0.67666666666666664</v>
      </c>
      <c r="C56" t="s">
        <v>994</v>
      </c>
      <c r="D56" t="s">
        <v>259</v>
      </c>
      <c r="E56" t="s">
        <v>260</v>
      </c>
      <c r="F56" t="str">
        <f t="shared" si="1"/>
        <v>replace vp_rigid=0.676666666666667 if country=="Mauritius"</v>
      </c>
    </row>
    <row r="57" spans="1:6">
      <c r="A57" s="47" t="s">
        <v>17</v>
      </c>
      <c r="B57" s="21">
        <v>1.1866666666666665</v>
      </c>
      <c r="C57" t="s">
        <v>994</v>
      </c>
      <c r="D57" t="s">
        <v>259</v>
      </c>
      <c r="E57" t="s">
        <v>260</v>
      </c>
      <c r="F57" t="str">
        <f t="shared" si="1"/>
        <v>replace vp_rigid=1.18666666666667 if country=="Mexico"</v>
      </c>
    </row>
    <row r="58" spans="1:6">
      <c r="A58" s="47" t="s">
        <v>102</v>
      </c>
      <c r="B58" s="21">
        <v>0.68666666666666665</v>
      </c>
      <c r="C58" t="s">
        <v>994</v>
      </c>
      <c r="D58" t="s">
        <v>259</v>
      </c>
      <c r="E58" t="s">
        <v>260</v>
      </c>
      <c r="F58" t="str">
        <f t="shared" si="1"/>
        <v>replace vp_rigid=0.686666666666667 if country=="Moldova"</v>
      </c>
    </row>
    <row r="59" spans="1:6">
      <c r="A59" s="47" t="s">
        <v>107</v>
      </c>
      <c r="B59" s="21">
        <v>0.76</v>
      </c>
      <c r="C59" t="s">
        <v>994</v>
      </c>
      <c r="D59" t="s">
        <v>259</v>
      </c>
      <c r="E59" t="s">
        <v>260</v>
      </c>
      <c r="F59" t="str">
        <f t="shared" si="1"/>
        <v>replace vp_rigid=0.76 if country=="Mongolia"</v>
      </c>
    </row>
    <row r="60" spans="1:6">
      <c r="A60" s="47" t="s">
        <v>106</v>
      </c>
      <c r="B60" s="21">
        <v>0.69666666666666666</v>
      </c>
      <c r="C60" t="s">
        <v>994</v>
      </c>
      <c r="D60" t="s">
        <v>259</v>
      </c>
      <c r="E60" t="s">
        <v>260</v>
      </c>
      <c r="F60" t="str">
        <f t="shared" si="1"/>
        <v>replace vp_rigid=0.696666666666667 if country=="Montenegro"</v>
      </c>
    </row>
    <row r="61" spans="1:6">
      <c r="A61" s="47" t="s">
        <v>111</v>
      </c>
      <c r="B61" s="21">
        <v>0.67666666666666664</v>
      </c>
      <c r="C61" t="s">
        <v>994</v>
      </c>
      <c r="D61" t="s">
        <v>259</v>
      </c>
      <c r="E61" t="s">
        <v>260</v>
      </c>
      <c r="F61" t="str">
        <f t="shared" si="1"/>
        <v>replace vp_rigid=0.676666666666667 if country=="Namibia"</v>
      </c>
    </row>
    <row r="62" spans="1:6">
      <c r="A62" s="47" t="s">
        <v>114</v>
      </c>
      <c r="B62" s="32">
        <v>0.67666666666666664</v>
      </c>
      <c r="C62" t="s">
        <v>994</v>
      </c>
      <c r="D62" t="s">
        <v>259</v>
      </c>
      <c r="E62" t="s">
        <v>260</v>
      </c>
      <c r="F62" t="str">
        <f t="shared" si="1"/>
        <v>replace vp_rigid=0.676666666666667 if country=="Nepal"</v>
      </c>
    </row>
    <row r="63" spans="1:6">
      <c r="A63" s="47" t="s">
        <v>18</v>
      </c>
      <c r="B63" s="21">
        <v>1.1866666666666665</v>
      </c>
      <c r="C63" t="s">
        <v>994</v>
      </c>
      <c r="D63" t="s">
        <v>259</v>
      </c>
      <c r="E63" t="s">
        <v>260</v>
      </c>
      <c r="F63" t="str">
        <f t="shared" si="1"/>
        <v>replace vp_rigid=1.18666666666667 if country=="Netherlands"</v>
      </c>
    </row>
    <row r="64" spans="1:6">
      <c r="A64" s="50" t="s">
        <v>265</v>
      </c>
      <c r="B64" s="21">
        <v>0.5</v>
      </c>
      <c r="C64" t="s">
        <v>994</v>
      </c>
      <c r="D64" t="s">
        <v>259</v>
      </c>
      <c r="E64" t="s">
        <v>260</v>
      </c>
      <c r="F64" t="str">
        <f t="shared" si="1"/>
        <v>replace vp_rigid=0.5 if country=="New Zealand"</v>
      </c>
    </row>
    <row r="65" spans="1:6">
      <c r="A65" s="47" t="s">
        <v>113</v>
      </c>
      <c r="B65" s="21">
        <v>0.61</v>
      </c>
      <c r="C65" t="s">
        <v>994</v>
      </c>
      <c r="D65" t="s">
        <v>259</v>
      </c>
      <c r="E65" t="s">
        <v>260</v>
      </c>
      <c r="F65" t="str">
        <f t="shared" si="1"/>
        <v>replace vp_rigid=0.61 if country=="Nicaragua"</v>
      </c>
    </row>
    <row r="66" spans="1:6">
      <c r="A66" s="47" t="s">
        <v>112</v>
      </c>
      <c r="B66" s="21">
        <v>1.24</v>
      </c>
      <c r="C66" t="s">
        <v>994</v>
      </c>
      <c r="D66" t="s">
        <v>259</v>
      </c>
      <c r="E66" t="s">
        <v>260</v>
      </c>
      <c r="F66" t="str">
        <f t="shared" ref="F66:F93" si="2">CONCATENATE(C66,B66,D66,A66,E66)</f>
        <v>replace vp_rigid=1.24 if country=="Niger"</v>
      </c>
    </row>
    <row r="67" spans="1:6">
      <c r="A67" s="45" t="s">
        <v>19</v>
      </c>
      <c r="B67" s="32">
        <v>0.67666666666666664</v>
      </c>
      <c r="C67" t="s">
        <v>994</v>
      </c>
      <c r="D67" t="s">
        <v>259</v>
      </c>
      <c r="E67" t="s">
        <v>260</v>
      </c>
      <c r="F67" t="str">
        <f t="shared" si="2"/>
        <v>replace vp_rigid=0.676666666666667 if country=="Norway"</v>
      </c>
    </row>
    <row r="68" spans="1:6">
      <c r="A68" s="45" t="s">
        <v>653</v>
      </c>
      <c r="B68" s="21">
        <v>0.68666666666666665</v>
      </c>
      <c r="C68" t="s">
        <v>994</v>
      </c>
      <c r="D68" t="s">
        <v>259</v>
      </c>
      <c r="E68" t="s">
        <v>260</v>
      </c>
      <c r="F68" t="str">
        <f t="shared" si="2"/>
        <v>replace vp_rigid=0.686666666666667 if country=="Pakistan"</v>
      </c>
    </row>
    <row r="69" spans="1:6">
      <c r="A69" s="47" t="s">
        <v>115</v>
      </c>
      <c r="B69" s="21">
        <v>1.03</v>
      </c>
      <c r="C69" t="s">
        <v>994</v>
      </c>
      <c r="D69" t="s">
        <v>259</v>
      </c>
      <c r="E69" t="s">
        <v>260</v>
      </c>
      <c r="F69" t="str">
        <f t="shared" si="2"/>
        <v>replace vp_rigid=1.03 if country=="Panama"</v>
      </c>
    </row>
    <row r="70" spans="1:6">
      <c r="A70" s="47" t="s">
        <v>118</v>
      </c>
      <c r="B70" s="21">
        <v>1.03</v>
      </c>
      <c r="C70" t="s">
        <v>994</v>
      </c>
      <c r="D70" t="s">
        <v>259</v>
      </c>
      <c r="E70" t="s">
        <v>260</v>
      </c>
      <c r="F70" t="str">
        <f t="shared" si="2"/>
        <v>replace vp_rigid=1.03 if country=="Paraguay"</v>
      </c>
    </row>
    <row r="71" spans="1:6">
      <c r="A71" s="47" t="s">
        <v>116</v>
      </c>
      <c r="B71" s="21">
        <v>1</v>
      </c>
      <c r="C71" t="s">
        <v>994</v>
      </c>
      <c r="D71" t="s">
        <v>259</v>
      </c>
      <c r="E71" t="s">
        <v>260</v>
      </c>
      <c r="F71" t="str">
        <f t="shared" si="2"/>
        <v>replace vp_rigid=1 if country=="Peru"</v>
      </c>
    </row>
    <row r="72" spans="1:6">
      <c r="A72" s="47" t="s">
        <v>117</v>
      </c>
      <c r="B72" s="21">
        <v>1.25</v>
      </c>
      <c r="C72" t="s">
        <v>994</v>
      </c>
      <c r="D72" t="s">
        <v>259</v>
      </c>
      <c r="E72" t="s">
        <v>260</v>
      </c>
      <c r="F72" t="str">
        <f t="shared" si="2"/>
        <v>replace vp_rigid=1.25 if country=="Philippines"</v>
      </c>
    </row>
    <row r="73" spans="1:6">
      <c r="A73" s="47" t="s">
        <v>20</v>
      </c>
      <c r="B73" s="1">
        <v>0.69666666666666666</v>
      </c>
      <c r="C73" t="s">
        <v>994</v>
      </c>
      <c r="D73" t="s">
        <v>259</v>
      </c>
      <c r="E73" t="s">
        <v>260</v>
      </c>
      <c r="F73" t="str">
        <f t="shared" si="2"/>
        <v>replace vp_rigid=0.696666666666667 if country=="Poland"</v>
      </c>
    </row>
    <row r="74" spans="1:6">
      <c r="A74" s="47" t="s">
        <v>21</v>
      </c>
      <c r="B74" s="21">
        <v>0.67666666666666664</v>
      </c>
      <c r="C74" t="s">
        <v>994</v>
      </c>
      <c r="D74" t="s">
        <v>259</v>
      </c>
      <c r="E74" t="s">
        <v>260</v>
      </c>
      <c r="F74" t="str">
        <f t="shared" si="2"/>
        <v>replace vp_rigid=0.676666666666667 if country=="Portugal"</v>
      </c>
    </row>
    <row r="75" spans="1:6">
      <c r="A75" s="47" t="s">
        <v>119</v>
      </c>
      <c r="B75" s="21">
        <v>1.1766666666666665</v>
      </c>
      <c r="C75" t="s">
        <v>994</v>
      </c>
      <c r="D75" t="s">
        <v>259</v>
      </c>
      <c r="E75" t="s">
        <v>260</v>
      </c>
      <c r="F75" t="str">
        <f t="shared" si="2"/>
        <v>replace vp_rigid=1.17666666666667 if country=="Romania"</v>
      </c>
    </row>
    <row r="76" spans="1:6">
      <c r="A76" s="47" t="s">
        <v>121</v>
      </c>
      <c r="B76" s="21">
        <v>1</v>
      </c>
      <c r="C76" t="s">
        <v>994</v>
      </c>
      <c r="D76" t="s">
        <v>259</v>
      </c>
      <c r="E76" t="s">
        <v>260</v>
      </c>
      <c r="F76" t="str">
        <f t="shared" si="2"/>
        <v>replace vp_rigid=1 if country=="Senegal"</v>
      </c>
    </row>
    <row r="77" spans="1:6">
      <c r="A77" s="47" t="s">
        <v>132</v>
      </c>
      <c r="B77" s="21">
        <v>0.69666666666666666</v>
      </c>
      <c r="C77" t="s">
        <v>994</v>
      </c>
      <c r="D77" t="s">
        <v>259</v>
      </c>
      <c r="E77" t="s">
        <v>260</v>
      </c>
      <c r="F77" t="str">
        <f t="shared" si="2"/>
        <v>replace vp_rigid=0.696666666666667 if country=="Sierra Leone"</v>
      </c>
    </row>
    <row r="78" spans="1:6">
      <c r="A78" s="47" t="s">
        <v>22</v>
      </c>
      <c r="B78" s="21">
        <v>0.61</v>
      </c>
      <c r="C78" t="s">
        <v>994</v>
      </c>
      <c r="D78" t="s">
        <v>259</v>
      </c>
      <c r="E78" t="s">
        <v>260</v>
      </c>
      <c r="F78" t="str">
        <f t="shared" si="2"/>
        <v>replace vp_rigid=0.61 if country=="Slovakia"</v>
      </c>
    </row>
    <row r="79" spans="1:6">
      <c r="A79" s="47" t="s">
        <v>23</v>
      </c>
      <c r="B79" s="21">
        <v>0.68666666666666665</v>
      </c>
      <c r="C79" t="s">
        <v>994</v>
      </c>
      <c r="D79" t="s">
        <v>259</v>
      </c>
      <c r="E79" t="s">
        <v>260</v>
      </c>
      <c r="F79" t="str">
        <f t="shared" si="2"/>
        <v>replace vp_rigid=0.686666666666667 if country=="Slovenia"</v>
      </c>
    </row>
    <row r="80" spans="1:6">
      <c r="A80" s="47" t="s">
        <v>131</v>
      </c>
      <c r="B80" s="21">
        <v>0.69666666666666666</v>
      </c>
      <c r="C80" t="s">
        <v>994</v>
      </c>
      <c r="D80" t="s">
        <v>259</v>
      </c>
      <c r="E80" t="s">
        <v>260</v>
      </c>
      <c r="F80" t="str">
        <f t="shared" si="2"/>
        <v>replace vp_rigid=0.696666666666667 if country=="Solomon Islands"</v>
      </c>
    </row>
    <row r="81" spans="1:6">
      <c r="A81" s="47" t="s">
        <v>137</v>
      </c>
      <c r="B81" s="21">
        <v>0.71666666666666667</v>
      </c>
      <c r="C81" t="s">
        <v>994</v>
      </c>
      <c r="D81" t="s">
        <v>259</v>
      </c>
      <c r="E81" t="s">
        <v>260</v>
      </c>
      <c r="F81" t="str">
        <f t="shared" si="2"/>
        <v>replace vp_rigid=0.716666666666667 if country=="South Africa"</v>
      </c>
    </row>
    <row r="82" spans="1:6">
      <c r="A82" s="50" t="s">
        <v>24</v>
      </c>
      <c r="B82" s="21">
        <v>0.6</v>
      </c>
      <c r="C82" t="s">
        <v>994</v>
      </c>
      <c r="D82" t="s">
        <v>259</v>
      </c>
      <c r="E82" t="s">
        <v>260</v>
      </c>
      <c r="F82" t="str">
        <f t="shared" si="2"/>
        <v>replace vp_rigid=0.6 if country=="Spain"</v>
      </c>
    </row>
    <row r="83" spans="1:6">
      <c r="A83" s="47" t="s">
        <v>25</v>
      </c>
      <c r="B83" s="21">
        <v>0.99</v>
      </c>
      <c r="C83" t="s">
        <v>994</v>
      </c>
      <c r="D83" t="s">
        <v>259</v>
      </c>
      <c r="E83" t="s">
        <v>260</v>
      </c>
      <c r="F83" t="str">
        <f t="shared" si="2"/>
        <v>replace vp_rigid=0.99 if country=="Sweden"</v>
      </c>
    </row>
    <row r="84" spans="1:6">
      <c r="A84" s="47" t="s">
        <v>26</v>
      </c>
      <c r="B84" s="21">
        <v>0.99</v>
      </c>
      <c r="C84" t="s">
        <v>994</v>
      </c>
      <c r="D84" t="s">
        <v>259</v>
      </c>
      <c r="E84" t="s">
        <v>260</v>
      </c>
      <c r="F84" t="str">
        <f t="shared" si="2"/>
        <v>replace vp_rigid=0.99 if country=="Switzerland"</v>
      </c>
    </row>
    <row r="85" spans="1:6">
      <c r="A85" s="47" t="s">
        <v>122</v>
      </c>
      <c r="B85" s="21">
        <v>1.27</v>
      </c>
      <c r="C85" t="s">
        <v>994</v>
      </c>
      <c r="D85" t="s">
        <v>259</v>
      </c>
      <c r="E85" t="s">
        <v>260</v>
      </c>
      <c r="F85" t="str">
        <f t="shared" si="2"/>
        <v>replace vp_rigid=1.27 if country=="Taiwan"</v>
      </c>
    </row>
    <row r="86" spans="1:6">
      <c r="A86" s="47" t="s">
        <v>654</v>
      </c>
      <c r="B86" s="21">
        <v>0.54</v>
      </c>
      <c r="C86" t="s">
        <v>994</v>
      </c>
      <c r="D86" t="s">
        <v>259</v>
      </c>
      <c r="E86" t="s">
        <v>260</v>
      </c>
      <c r="F86" t="str">
        <f t="shared" si="2"/>
        <v>replace vp_rigid=0.54 if country=="Thailand"</v>
      </c>
    </row>
    <row r="87" spans="1:6">
      <c r="A87" s="47" t="s">
        <v>261</v>
      </c>
      <c r="B87" s="21">
        <v>0.68666666666666665</v>
      </c>
      <c r="C87" t="s">
        <v>994</v>
      </c>
      <c r="D87" t="s">
        <v>259</v>
      </c>
      <c r="E87" t="s">
        <v>260</v>
      </c>
      <c r="F87" t="str">
        <f t="shared" si="2"/>
        <v>replace vp_rigid=0.686666666666667 if country=="Trinidad And Tobago"</v>
      </c>
    </row>
    <row r="88" spans="1:6">
      <c r="A88" s="47" t="s">
        <v>657</v>
      </c>
      <c r="B88" s="21">
        <v>1.61</v>
      </c>
      <c r="C88" t="s">
        <v>994</v>
      </c>
      <c r="D88" t="s">
        <v>259</v>
      </c>
      <c r="E88" t="s">
        <v>260</v>
      </c>
      <c r="F88" t="str">
        <f t="shared" si="2"/>
        <v>replace vp_rigid=1.61 if country=="Turkey/Ottoman Empire"</v>
      </c>
    </row>
    <row r="89" spans="1:6">
      <c r="A89" s="47" t="s">
        <v>123</v>
      </c>
      <c r="B89" s="21">
        <v>0.68666666666666665</v>
      </c>
      <c r="C89" t="s">
        <v>994</v>
      </c>
      <c r="D89" t="s">
        <v>259</v>
      </c>
      <c r="E89" t="s">
        <v>260</v>
      </c>
      <c r="F89" t="str">
        <f t="shared" si="2"/>
        <v>replace vp_rigid=0.686666666666667 if country=="Ukraine"</v>
      </c>
    </row>
    <row r="90" spans="1:6">
      <c r="A90" s="47" t="s">
        <v>124</v>
      </c>
      <c r="B90" s="21">
        <v>0.5</v>
      </c>
      <c r="C90" t="s">
        <v>994</v>
      </c>
      <c r="D90" t="s">
        <v>259</v>
      </c>
      <c r="E90" t="s">
        <v>260</v>
      </c>
      <c r="F90" t="str">
        <f t="shared" si="2"/>
        <v>replace vp_rigid=0.5 if country=="Uruguay"</v>
      </c>
    </row>
    <row r="91" spans="1:6">
      <c r="A91" s="47" t="s">
        <v>972</v>
      </c>
      <c r="B91" s="21">
        <v>1.4166666666666665</v>
      </c>
      <c r="C91" t="s">
        <v>994</v>
      </c>
      <c r="D91" t="s">
        <v>259</v>
      </c>
      <c r="E91" t="s">
        <v>260</v>
      </c>
      <c r="F91" t="str">
        <f t="shared" si="2"/>
        <v>replace vp_rigid=1.41666666666667 if country=="United States Of America"</v>
      </c>
    </row>
    <row r="92" spans="1:6">
      <c r="A92" s="47" t="s">
        <v>134</v>
      </c>
      <c r="B92" s="21">
        <v>0.67666666666666664</v>
      </c>
      <c r="C92" t="s">
        <v>994</v>
      </c>
      <c r="D92" t="s">
        <v>259</v>
      </c>
      <c r="E92" t="s">
        <v>260</v>
      </c>
      <c r="F92" t="str">
        <f t="shared" si="2"/>
        <v>replace vp_rigid=0.676666666666667 if country=="Yugoslavia (Serbia)"</v>
      </c>
    </row>
    <row r="93" spans="1:6">
      <c r="A93" s="47" t="s">
        <v>126</v>
      </c>
      <c r="B93" s="21">
        <v>0.69666666666666666</v>
      </c>
      <c r="C93" t="s">
        <v>994</v>
      </c>
      <c r="D93" t="s">
        <v>259</v>
      </c>
      <c r="E93" t="s">
        <v>260</v>
      </c>
      <c r="F93" t="str">
        <f t="shared" si="2"/>
        <v>replace vp_rigid=0.696666666666667 if country=="Zambia"</v>
      </c>
    </row>
    <row r="94" spans="1:6">
      <c r="B94" s="21"/>
    </row>
    <row r="95" spans="1:6">
      <c r="B95" s="21"/>
    </row>
    <row r="96" spans="1:6">
      <c r="B96" s="21"/>
    </row>
    <row r="100" spans="2:2">
      <c r="B100" s="1"/>
    </row>
    <row r="101" spans="2:2">
      <c r="B101" s="1"/>
    </row>
    <row r="102" spans="2:2">
      <c r="B102" s="1"/>
    </row>
    <row r="103" spans="2:2">
      <c r="B103" s="1"/>
    </row>
  </sheetData>
  <phoneticPr fontId="2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3"/>
  <sheetViews>
    <sheetView workbookViewId="0"/>
  </sheetViews>
  <sheetFormatPr defaultColWidth="10.81640625" defaultRowHeight="19.2"/>
  <cols>
    <col min="1" max="1" width="10.81640625" style="45"/>
    <col min="2" max="2" width="23.453125" style="13" customWidth="1"/>
  </cols>
  <sheetData>
    <row r="1" spans="1:6" ht="38.4">
      <c r="B1" s="11" t="s">
        <v>262</v>
      </c>
    </row>
    <row r="2" spans="1:6">
      <c r="A2" s="50" t="s">
        <v>72</v>
      </c>
      <c r="B2" s="21">
        <v>0.67666666666666664</v>
      </c>
      <c r="C2" t="s">
        <v>995</v>
      </c>
      <c r="D2" t="s">
        <v>259</v>
      </c>
      <c r="E2" t="s">
        <v>260</v>
      </c>
      <c r="F2" t="str">
        <f t="shared" ref="F2:F65" si="0">CONCATENATE(C2,B2,D2,A2,E2)</f>
        <v>replace vp_rigid_2ch=0.676666666666667 if country=="Albania"</v>
      </c>
    </row>
    <row r="3" spans="1:6">
      <c r="A3" s="47" t="s">
        <v>73</v>
      </c>
      <c r="B3" s="21">
        <v>1.5</v>
      </c>
      <c r="C3" t="s">
        <v>995</v>
      </c>
      <c r="D3" t="s">
        <v>259</v>
      </c>
      <c r="E3" t="s">
        <v>260</v>
      </c>
      <c r="F3" t="str">
        <f t="shared" si="0"/>
        <v>replace vp_rigid_2ch=1.5 if country=="Argentina"</v>
      </c>
    </row>
    <row r="4" spans="1:6">
      <c r="A4" s="47" t="s">
        <v>0</v>
      </c>
      <c r="B4" s="20">
        <v>1.2750000000000001</v>
      </c>
      <c r="C4" t="s">
        <v>995</v>
      </c>
      <c r="D4" t="s">
        <v>259</v>
      </c>
      <c r="E4" t="s">
        <v>260</v>
      </c>
      <c r="F4" t="str">
        <f t="shared" si="0"/>
        <v>replace vp_rigid_2ch=1.275 if country=="Australia"</v>
      </c>
    </row>
    <row r="5" spans="1:6">
      <c r="A5" s="47" t="s">
        <v>1</v>
      </c>
      <c r="B5" s="21">
        <v>0.66666666666666663</v>
      </c>
      <c r="C5" t="s">
        <v>995</v>
      </c>
      <c r="D5" t="s">
        <v>259</v>
      </c>
      <c r="E5" t="s">
        <v>260</v>
      </c>
      <c r="F5" t="str">
        <f t="shared" si="0"/>
        <v>replace vp_rigid_2ch=0.666666666666667 if country=="Austria"</v>
      </c>
    </row>
    <row r="6" spans="1:6">
      <c r="A6" s="47" t="s">
        <v>2</v>
      </c>
      <c r="B6" s="21">
        <v>1.01</v>
      </c>
      <c r="C6" t="s">
        <v>995</v>
      </c>
      <c r="D6" t="s">
        <v>259</v>
      </c>
      <c r="E6" t="s">
        <v>260</v>
      </c>
      <c r="F6" t="str">
        <f t="shared" si="0"/>
        <v>replace vp_rigid_2ch=1.01 if country=="Belgium"</v>
      </c>
    </row>
    <row r="7" spans="1:6">
      <c r="A7" s="47" t="s">
        <v>76</v>
      </c>
      <c r="B7" s="21">
        <v>1.25</v>
      </c>
      <c r="C7" t="s">
        <v>995</v>
      </c>
      <c r="D7" t="s">
        <v>259</v>
      </c>
      <c r="E7" t="s">
        <v>260</v>
      </c>
      <c r="F7" t="str">
        <f t="shared" si="0"/>
        <v>replace vp_rigid_2ch=1.25 if country=="Benin"</v>
      </c>
    </row>
    <row r="8" spans="1:6">
      <c r="A8" s="50" t="s">
        <v>79</v>
      </c>
      <c r="B8" s="21">
        <v>1.1666666666666665</v>
      </c>
      <c r="C8" t="s">
        <v>995</v>
      </c>
      <c r="D8" t="s">
        <v>259</v>
      </c>
      <c r="E8" t="s">
        <v>260</v>
      </c>
      <c r="F8" t="str">
        <f t="shared" si="0"/>
        <v>replace vp_rigid_2ch=1.16666666666667 if country=="Bolivia"</v>
      </c>
    </row>
    <row r="9" spans="1:6">
      <c r="A9" s="50" t="s">
        <v>81</v>
      </c>
      <c r="B9" s="32">
        <v>0.66666666666666663</v>
      </c>
      <c r="C9" t="s">
        <v>995</v>
      </c>
      <c r="D9" t="s">
        <v>259</v>
      </c>
      <c r="E9" t="s">
        <v>260</v>
      </c>
      <c r="F9" t="str">
        <f t="shared" si="0"/>
        <v>replace vp_rigid_2ch=0.666666666666667 if country=="Botswana"</v>
      </c>
    </row>
    <row r="10" spans="1:6">
      <c r="A10" s="47" t="s">
        <v>80</v>
      </c>
      <c r="B10" s="21">
        <v>0.91</v>
      </c>
      <c r="C10" t="s">
        <v>995</v>
      </c>
      <c r="D10" t="s">
        <v>259</v>
      </c>
      <c r="E10" t="s">
        <v>260</v>
      </c>
      <c r="F10" t="str">
        <f t="shared" si="0"/>
        <v>replace vp_rigid_2ch=0.91 if country=="Brazil"</v>
      </c>
    </row>
    <row r="11" spans="1:6">
      <c r="A11" s="47" t="s">
        <v>78</v>
      </c>
      <c r="B11" s="21">
        <v>0.77</v>
      </c>
      <c r="C11" t="s">
        <v>995</v>
      </c>
      <c r="D11" t="s">
        <v>259</v>
      </c>
      <c r="E11" t="s">
        <v>260</v>
      </c>
      <c r="F11" t="str">
        <f t="shared" si="0"/>
        <v>replace vp_rigid_2ch=0.77 if country=="Bulgaria"</v>
      </c>
    </row>
    <row r="12" spans="1:6">
      <c r="A12" s="47" t="s">
        <v>75</v>
      </c>
      <c r="B12" s="21">
        <v>1.1433333333333333</v>
      </c>
      <c r="C12" t="s">
        <v>995</v>
      </c>
      <c r="D12" t="s">
        <v>259</v>
      </c>
      <c r="E12" t="s">
        <v>260</v>
      </c>
      <c r="F12" t="str">
        <f t="shared" si="0"/>
        <v>replace vp_rigid_2ch=1.14333333333333 if country=="Burundi"</v>
      </c>
    </row>
    <row r="13" spans="1:6">
      <c r="A13" s="47" t="s">
        <v>3</v>
      </c>
      <c r="B13" s="21">
        <v>1.1666666666666665</v>
      </c>
      <c r="C13" t="s">
        <v>995</v>
      </c>
      <c r="D13" t="s">
        <v>259</v>
      </c>
      <c r="E13" t="s">
        <v>260</v>
      </c>
      <c r="F13" t="str">
        <f t="shared" si="0"/>
        <v>replace vp_rigid_2ch=1.16666666666667 if country=="Canada"</v>
      </c>
    </row>
    <row r="14" spans="1:6">
      <c r="A14" s="47" t="s">
        <v>127</v>
      </c>
      <c r="B14" s="21">
        <v>0.66666666666666663</v>
      </c>
      <c r="C14" t="s">
        <v>995</v>
      </c>
      <c r="D14" t="s">
        <v>259</v>
      </c>
      <c r="E14" t="s">
        <v>260</v>
      </c>
      <c r="F14" t="str">
        <f t="shared" si="0"/>
        <v>replace vp_rigid_2ch=0.666666666666667 if country=="Cape Verde"</v>
      </c>
    </row>
    <row r="15" spans="1:6">
      <c r="A15" s="47" t="s">
        <v>4</v>
      </c>
      <c r="B15" s="21">
        <v>1.4</v>
      </c>
      <c r="C15" t="s">
        <v>995</v>
      </c>
      <c r="D15" t="s">
        <v>259</v>
      </c>
      <c r="E15" t="s">
        <v>260</v>
      </c>
      <c r="F15" t="str">
        <f t="shared" si="0"/>
        <v>replace vp_rigid_2ch=1.4 if country=="Chile"</v>
      </c>
    </row>
    <row r="16" spans="1:6">
      <c r="A16" s="47" t="s">
        <v>82</v>
      </c>
      <c r="B16" s="21">
        <v>0.74</v>
      </c>
      <c r="C16" t="s">
        <v>995</v>
      </c>
      <c r="D16" t="s">
        <v>259</v>
      </c>
      <c r="E16" t="s">
        <v>260</v>
      </c>
      <c r="F16" t="str">
        <f t="shared" si="0"/>
        <v>replace vp_rigid_2ch=0.74 if country=="Colombia"</v>
      </c>
    </row>
    <row r="17" spans="1:6">
      <c r="A17" s="47" t="s">
        <v>650</v>
      </c>
      <c r="B17" s="21">
        <v>1.3333333333333333</v>
      </c>
      <c r="C17" t="s">
        <v>995</v>
      </c>
      <c r="D17" t="s">
        <v>259</v>
      </c>
      <c r="E17" t="s">
        <v>260</v>
      </c>
      <c r="F17" t="str">
        <f t="shared" si="0"/>
        <v>replace vp_rigid_2ch=1.33333333333333 if country=="Comoros"</v>
      </c>
    </row>
    <row r="18" spans="1:6">
      <c r="A18" s="47" t="s">
        <v>128</v>
      </c>
      <c r="B18" s="21">
        <v>1.1866666666666665</v>
      </c>
      <c r="C18" t="s">
        <v>995</v>
      </c>
      <c r="D18" t="s">
        <v>259</v>
      </c>
      <c r="E18" t="s">
        <v>260</v>
      </c>
      <c r="F18" t="str">
        <f t="shared" si="0"/>
        <v>replace vp_rigid_2ch=1.18666666666667 if country=="Costa Rica"</v>
      </c>
    </row>
    <row r="19" spans="1:6">
      <c r="A19" s="47" t="s">
        <v>91</v>
      </c>
      <c r="B19" s="8">
        <v>0.69666666666666666</v>
      </c>
      <c r="C19" t="s">
        <v>995</v>
      </c>
      <c r="D19" t="s">
        <v>259</v>
      </c>
      <c r="E19" t="s">
        <v>260</v>
      </c>
      <c r="F19" t="str">
        <f t="shared" si="0"/>
        <v>replace vp_rigid_2ch=0.696666666666667 if country=="Croatia"</v>
      </c>
    </row>
    <row r="20" spans="1:6">
      <c r="A20" s="47" t="s">
        <v>83</v>
      </c>
      <c r="B20" s="32">
        <v>1.3433333333333333</v>
      </c>
      <c r="C20" t="s">
        <v>995</v>
      </c>
      <c r="D20" t="s">
        <v>259</v>
      </c>
      <c r="E20" t="s">
        <v>260</v>
      </c>
      <c r="F20" t="str">
        <f t="shared" si="0"/>
        <v>replace vp_rigid_2ch=1.34333333333333 if country=="Cyprus"</v>
      </c>
    </row>
    <row r="21" spans="1:6">
      <c r="A21" s="50" t="s">
        <v>5</v>
      </c>
      <c r="B21" s="21">
        <v>0.91</v>
      </c>
      <c r="C21" t="s">
        <v>995</v>
      </c>
      <c r="D21" t="s">
        <v>259</v>
      </c>
      <c r="E21" t="s">
        <v>260</v>
      </c>
      <c r="F21" t="str">
        <f t="shared" si="0"/>
        <v>replace vp_rigid_2ch=0.91 if country=="Czech Republic"</v>
      </c>
    </row>
    <row r="22" spans="1:6">
      <c r="A22" s="50" t="s">
        <v>6</v>
      </c>
      <c r="B22" s="21">
        <v>1.51</v>
      </c>
      <c r="C22" t="s">
        <v>995</v>
      </c>
      <c r="D22" t="s">
        <v>259</v>
      </c>
      <c r="E22" t="s">
        <v>260</v>
      </c>
      <c r="F22" t="str">
        <f t="shared" si="0"/>
        <v>replace vp_rigid_2ch=1.51 if country=="Denmark"</v>
      </c>
    </row>
    <row r="23" spans="1:6">
      <c r="A23" s="47" t="s">
        <v>129</v>
      </c>
      <c r="B23" s="21">
        <v>0.69666666666666666</v>
      </c>
      <c r="C23" t="s">
        <v>995</v>
      </c>
      <c r="D23" t="s">
        <v>259</v>
      </c>
      <c r="E23" t="s">
        <v>260</v>
      </c>
      <c r="F23" t="str">
        <f t="shared" si="0"/>
        <v>replace vp_rigid_2ch=0.696666666666667 if country=="Dominican Republic"</v>
      </c>
    </row>
    <row r="24" spans="1:6">
      <c r="A24" s="47" t="s">
        <v>135</v>
      </c>
      <c r="B24" s="21">
        <v>0.66666666666666663</v>
      </c>
      <c r="C24" t="s">
        <v>995</v>
      </c>
      <c r="D24" t="s">
        <v>259</v>
      </c>
      <c r="E24" t="s">
        <v>260</v>
      </c>
      <c r="F24" t="str">
        <f t="shared" si="0"/>
        <v>replace vp_rigid_2ch=0.666666666666667 if country=="East Timor"</v>
      </c>
    </row>
    <row r="25" spans="1:6">
      <c r="A25" s="47" t="s">
        <v>133</v>
      </c>
      <c r="B25" s="21">
        <v>0.67666666666666664</v>
      </c>
      <c r="C25" t="s">
        <v>995</v>
      </c>
      <c r="D25" t="s">
        <v>259</v>
      </c>
      <c r="E25" t="s">
        <v>260</v>
      </c>
      <c r="F25" t="str">
        <f t="shared" si="0"/>
        <v>replace vp_rigid_2ch=0.676666666666667 if country=="El Salvador"</v>
      </c>
    </row>
    <row r="26" spans="1:6">
      <c r="A26" s="47" t="s">
        <v>7</v>
      </c>
      <c r="B26" s="21">
        <v>1.1100000000000001</v>
      </c>
      <c r="C26" t="s">
        <v>995</v>
      </c>
      <c r="D26" t="s">
        <v>259</v>
      </c>
      <c r="E26" t="s">
        <v>260</v>
      </c>
      <c r="F26" t="str">
        <f t="shared" si="0"/>
        <v>replace vp_rigid_2ch=1.11 if country=="Estonia"</v>
      </c>
    </row>
    <row r="27" spans="1:6">
      <c r="A27" s="47" t="s">
        <v>8</v>
      </c>
      <c r="B27" s="21">
        <v>1.1566666666666665</v>
      </c>
      <c r="C27" t="s">
        <v>995</v>
      </c>
      <c r="D27" t="s">
        <v>259</v>
      </c>
      <c r="E27" t="s">
        <v>260</v>
      </c>
      <c r="F27" t="str">
        <f t="shared" si="0"/>
        <v>replace vp_rigid_2ch=1.15666666666667 if country=="Finland"</v>
      </c>
    </row>
    <row r="28" spans="1:6">
      <c r="A28" s="47" t="s">
        <v>9</v>
      </c>
      <c r="B28" s="21">
        <v>1.25</v>
      </c>
      <c r="C28" t="s">
        <v>995</v>
      </c>
      <c r="D28" t="s">
        <v>259</v>
      </c>
      <c r="E28" t="s">
        <v>260</v>
      </c>
      <c r="F28" t="str">
        <f t="shared" si="0"/>
        <v>replace vp_rigid_2ch=1.25 if country=="France"</v>
      </c>
    </row>
    <row r="29" spans="1:6">
      <c r="A29" s="47" t="s">
        <v>85</v>
      </c>
      <c r="B29" s="21">
        <v>0.69666666666666666</v>
      </c>
      <c r="C29" t="s">
        <v>995</v>
      </c>
      <c r="D29" t="s">
        <v>259</v>
      </c>
      <c r="E29" t="s">
        <v>260</v>
      </c>
      <c r="F29" t="str">
        <f t="shared" si="0"/>
        <v>replace vp_rigid_2ch=0.696666666666667 if country=="Georgia"</v>
      </c>
    </row>
    <row r="30" spans="1:6">
      <c r="A30" s="47" t="s">
        <v>655</v>
      </c>
      <c r="B30" s="21">
        <v>1.01</v>
      </c>
      <c r="C30" t="s">
        <v>995</v>
      </c>
      <c r="D30" t="s">
        <v>259</v>
      </c>
      <c r="E30" t="s">
        <v>260</v>
      </c>
      <c r="F30" t="str">
        <f t="shared" si="0"/>
        <v>replace vp_rigid_2ch=1.01 if country=="German Federal Republic"</v>
      </c>
    </row>
    <row r="31" spans="1:6">
      <c r="A31" s="47" t="s">
        <v>86</v>
      </c>
      <c r="B31" s="32">
        <v>0.70666666666666667</v>
      </c>
      <c r="C31" t="s">
        <v>995</v>
      </c>
      <c r="D31" t="s">
        <v>259</v>
      </c>
      <c r="E31" t="s">
        <v>260</v>
      </c>
      <c r="F31" t="str">
        <f t="shared" si="0"/>
        <v>replace vp_rigid_2ch=0.706666666666667 if country=="Ghana"</v>
      </c>
    </row>
    <row r="32" spans="1:6">
      <c r="A32" s="47" t="s">
        <v>10</v>
      </c>
      <c r="B32" s="21">
        <v>1.1099999999999999</v>
      </c>
      <c r="C32" t="s">
        <v>995</v>
      </c>
      <c r="D32" t="s">
        <v>259</v>
      </c>
      <c r="E32" t="s">
        <v>260</v>
      </c>
      <c r="F32" t="str">
        <f t="shared" si="0"/>
        <v>replace vp_rigid_2ch=1.11 if country=="Greece"</v>
      </c>
    </row>
    <row r="33" spans="1:6">
      <c r="A33" s="47" t="s">
        <v>88</v>
      </c>
      <c r="B33" s="21">
        <v>1.1766666666666665</v>
      </c>
      <c r="C33" t="s">
        <v>995</v>
      </c>
      <c r="D33" t="s">
        <v>259</v>
      </c>
      <c r="E33" t="s">
        <v>260</v>
      </c>
      <c r="F33" t="str">
        <f t="shared" si="0"/>
        <v>replace vp_rigid_2ch=1.17666666666667 if country=="Guatemala"</v>
      </c>
    </row>
    <row r="34" spans="1:6">
      <c r="A34" s="47" t="s">
        <v>89</v>
      </c>
      <c r="B34" s="21">
        <v>1</v>
      </c>
      <c r="C34" t="s">
        <v>995</v>
      </c>
      <c r="D34" t="s">
        <v>259</v>
      </c>
      <c r="E34" t="s">
        <v>260</v>
      </c>
      <c r="F34" t="str">
        <f t="shared" si="0"/>
        <v>replace vp_rigid_2ch=1 if country=="Guyana"</v>
      </c>
    </row>
    <row r="35" spans="1:6">
      <c r="A35" s="47" t="s">
        <v>90</v>
      </c>
      <c r="B35" s="21">
        <v>0.67666666666666664</v>
      </c>
      <c r="C35" t="s">
        <v>995</v>
      </c>
      <c r="D35" t="s">
        <v>259</v>
      </c>
      <c r="E35" t="s">
        <v>260</v>
      </c>
      <c r="F35" t="str">
        <f t="shared" si="0"/>
        <v>replace vp_rigid_2ch=0.676666666666667 if country=="Honduras"</v>
      </c>
    </row>
    <row r="36" spans="1:6">
      <c r="A36" s="50" t="s">
        <v>11</v>
      </c>
      <c r="B36" s="32">
        <v>0.67666666666666664</v>
      </c>
      <c r="C36" t="s">
        <v>995</v>
      </c>
      <c r="D36" t="s">
        <v>259</v>
      </c>
      <c r="E36" t="s">
        <v>260</v>
      </c>
      <c r="F36" t="str">
        <f t="shared" si="0"/>
        <v>replace vp_rigid_2ch=0.676666666666667 if country=="Hungary"</v>
      </c>
    </row>
    <row r="37" spans="1:6">
      <c r="A37" s="47" t="s">
        <v>12</v>
      </c>
      <c r="B37" s="21">
        <v>1.01</v>
      </c>
      <c r="C37" t="s">
        <v>995</v>
      </c>
      <c r="D37" t="s">
        <v>259</v>
      </c>
      <c r="E37" t="s">
        <v>260</v>
      </c>
      <c r="F37" t="str">
        <f t="shared" si="0"/>
        <v>replace vp_rigid_2ch=1.01 if country=="Iceland"</v>
      </c>
    </row>
    <row r="38" spans="1:6">
      <c r="A38" s="47" t="s">
        <v>94</v>
      </c>
      <c r="B38" s="21">
        <v>0.77500000000000002</v>
      </c>
      <c r="C38" t="s">
        <v>995</v>
      </c>
      <c r="D38" t="s">
        <v>259</v>
      </c>
      <c r="E38" t="s">
        <v>260</v>
      </c>
      <c r="F38" t="str">
        <f t="shared" si="0"/>
        <v>replace vp_rigid_2ch=0.775 if country=="India"</v>
      </c>
    </row>
    <row r="39" spans="1:6">
      <c r="A39" s="47" t="s">
        <v>93</v>
      </c>
      <c r="B39" s="21">
        <v>0.76</v>
      </c>
      <c r="C39" t="s">
        <v>995</v>
      </c>
      <c r="D39" t="s">
        <v>259</v>
      </c>
      <c r="E39" t="s">
        <v>260</v>
      </c>
      <c r="F39" t="str">
        <f t="shared" si="0"/>
        <v>replace vp_rigid_2ch=0.76 if country=="Indonesia"</v>
      </c>
    </row>
    <row r="40" spans="1:6">
      <c r="A40" s="47" t="s">
        <v>13</v>
      </c>
      <c r="B40" s="21">
        <v>1.25</v>
      </c>
      <c r="C40" t="s">
        <v>995</v>
      </c>
      <c r="D40" t="s">
        <v>259</v>
      </c>
      <c r="E40" t="s">
        <v>260</v>
      </c>
      <c r="F40" t="str">
        <f t="shared" si="0"/>
        <v>replace vp_rigid_2ch=1.25 if country=="Ireland"</v>
      </c>
    </row>
    <row r="41" spans="1:6">
      <c r="A41" s="50" t="s">
        <v>651</v>
      </c>
      <c r="B41" s="21">
        <v>1.2750000000000001</v>
      </c>
      <c r="C41" t="s">
        <v>995</v>
      </c>
      <c r="D41" t="s">
        <v>259</v>
      </c>
      <c r="E41" t="s">
        <v>260</v>
      </c>
      <c r="F41" t="str">
        <f t="shared" si="0"/>
        <v>replace vp_rigid_2ch=1.275 if country=="Italy/Sardinia"</v>
      </c>
    </row>
    <row r="42" spans="1:6">
      <c r="A42" s="50" t="s">
        <v>95</v>
      </c>
      <c r="B42" s="21">
        <v>0.77</v>
      </c>
      <c r="C42" t="s">
        <v>995</v>
      </c>
      <c r="D42" t="s">
        <v>259</v>
      </c>
      <c r="E42" t="s">
        <v>260</v>
      </c>
      <c r="F42" t="str">
        <f t="shared" si="0"/>
        <v>replace vp_rigid_2ch=0.77 if country=="Jamaica"</v>
      </c>
    </row>
    <row r="43" spans="1:6">
      <c r="A43" s="47" t="s">
        <v>14</v>
      </c>
      <c r="B43" s="21">
        <v>1.51</v>
      </c>
      <c r="C43" t="s">
        <v>995</v>
      </c>
      <c r="D43" t="s">
        <v>259</v>
      </c>
      <c r="E43" t="s">
        <v>260</v>
      </c>
      <c r="F43" t="str">
        <f t="shared" si="0"/>
        <v>replace vp_rigid_2ch=1.51 if country=="Japan"</v>
      </c>
    </row>
    <row r="44" spans="1:6">
      <c r="A44" s="47" t="s">
        <v>96</v>
      </c>
      <c r="B44" s="21">
        <v>1.03</v>
      </c>
      <c r="C44" t="s">
        <v>995</v>
      </c>
      <c r="D44" t="s">
        <v>259</v>
      </c>
      <c r="E44" t="s">
        <v>260</v>
      </c>
      <c r="F44" t="str">
        <f t="shared" si="0"/>
        <v>replace vp_rigid_2ch=1.03 if country=="Kenya"</v>
      </c>
    </row>
    <row r="45" spans="1:6">
      <c r="A45" s="47" t="s">
        <v>15</v>
      </c>
      <c r="B45" s="21">
        <v>1.1966666666666665</v>
      </c>
      <c r="C45" t="s">
        <v>995</v>
      </c>
      <c r="D45" t="s">
        <v>259</v>
      </c>
      <c r="E45" t="s">
        <v>260</v>
      </c>
      <c r="F45" t="str">
        <f t="shared" si="0"/>
        <v>replace vp_rigid_2ch=1.19666666666667 if country=="Korea, Republic Of"</v>
      </c>
    </row>
    <row r="46" spans="1:6">
      <c r="A46" s="47" t="s">
        <v>656</v>
      </c>
      <c r="B46" s="21">
        <v>0.70666666666666667</v>
      </c>
      <c r="C46" t="s">
        <v>995</v>
      </c>
      <c r="D46" t="s">
        <v>259</v>
      </c>
      <c r="E46" t="s">
        <v>260</v>
      </c>
      <c r="F46" t="str">
        <f t="shared" si="0"/>
        <v>replace vp_rigid_2ch=0.706666666666667 if country=="Kyrgyz Republic"</v>
      </c>
    </row>
    <row r="47" spans="1:6">
      <c r="A47" s="47" t="s">
        <v>101</v>
      </c>
      <c r="B47" s="21">
        <v>0.68666666666666665</v>
      </c>
      <c r="C47" t="s">
        <v>995</v>
      </c>
      <c r="D47" t="s">
        <v>259</v>
      </c>
      <c r="E47" t="s">
        <v>260</v>
      </c>
      <c r="F47" t="str">
        <f t="shared" si="0"/>
        <v>replace vp_rigid_2ch=0.686666666666667 if country=="Latvia"</v>
      </c>
    </row>
    <row r="48" spans="1:6">
      <c r="A48" s="47" t="s">
        <v>97</v>
      </c>
      <c r="B48" s="21">
        <v>0.68666666666666665</v>
      </c>
      <c r="C48" t="s">
        <v>995</v>
      </c>
      <c r="D48" t="s">
        <v>259</v>
      </c>
      <c r="E48" t="s">
        <v>260</v>
      </c>
      <c r="F48" t="str">
        <f t="shared" si="0"/>
        <v>replace vp_rigid_2ch=0.686666666666667 if country=="Lebanon"</v>
      </c>
    </row>
    <row r="49" spans="1:6">
      <c r="A49" s="47" t="s">
        <v>99</v>
      </c>
      <c r="B49" s="21">
        <v>1.25</v>
      </c>
      <c r="C49" t="s">
        <v>995</v>
      </c>
      <c r="D49" t="s">
        <v>259</v>
      </c>
      <c r="E49" t="s">
        <v>260</v>
      </c>
      <c r="F49" t="str">
        <f t="shared" si="0"/>
        <v>replace vp_rigid_2ch=1.25 if country=="Lesotho"</v>
      </c>
    </row>
    <row r="50" spans="1:6">
      <c r="A50" s="47" t="s">
        <v>98</v>
      </c>
      <c r="B50" s="21">
        <v>1.6966666666666668</v>
      </c>
      <c r="C50" t="s">
        <v>995</v>
      </c>
      <c r="D50" t="s">
        <v>259</v>
      </c>
      <c r="E50" t="s">
        <v>260</v>
      </c>
      <c r="F50" t="str">
        <f t="shared" si="0"/>
        <v>replace vp_rigid_2ch=1.69666666666667 if country=="Liberia"</v>
      </c>
    </row>
    <row r="51" spans="1:6">
      <c r="A51" s="47" t="s">
        <v>100</v>
      </c>
      <c r="B51" s="21">
        <v>0.69666666666666666</v>
      </c>
      <c r="C51" t="s">
        <v>995</v>
      </c>
      <c r="D51" t="s">
        <v>259</v>
      </c>
      <c r="E51" t="s">
        <v>260</v>
      </c>
      <c r="F51" t="str">
        <f t="shared" si="0"/>
        <v>replace vp_rigid_2ch=0.696666666666667 if country=="Lithuania"</v>
      </c>
    </row>
    <row r="52" spans="1:6">
      <c r="A52" s="47" t="s">
        <v>16</v>
      </c>
      <c r="B52" s="21">
        <v>0.68666666666666665</v>
      </c>
      <c r="C52" t="s">
        <v>995</v>
      </c>
      <c r="D52" t="s">
        <v>259</v>
      </c>
      <c r="E52" t="s">
        <v>260</v>
      </c>
      <c r="F52" t="str">
        <f t="shared" si="0"/>
        <v>replace vp_rigid_2ch=0.686666666666667 if country=="Luxembourg"</v>
      </c>
    </row>
    <row r="53" spans="1:6">
      <c r="A53" s="47" t="s">
        <v>658</v>
      </c>
      <c r="B53" s="21">
        <v>0.68666666666666665</v>
      </c>
      <c r="C53" t="s">
        <v>995</v>
      </c>
      <c r="D53" t="s">
        <v>259</v>
      </c>
      <c r="E53" t="s">
        <v>260</v>
      </c>
      <c r="F53" t="str">
        <f t="shared" si="0"/>
        <v>replace vp_rigid_2ch=0.686666666666667 if country=="Macedonia (Former Yugoslav Republic Of)"</v>
      </c>
    </row>
    <row r="54" spans="1:6">
      <c r="A54" s="50" t="s">
        <v>110</v>
      </c>
      <c r="B54" s="21">
        <v>0.67666666666666664</v>
      </c>
      <c r="C54" t="s">
        <v>995</v>
      </c>
      <c r="D54" t="s">
        <v>259</v>
      </c>
      <c r="E54" t="s">
        <v>260</v>
      </c>
      <c r="F54" t="str">
        <f t="shared" si="0"/>
        <v>replace vp_rigid_2ch=0.676666666666667 if country=="Malawi"</v>
      </c>
    </row>
    <row r="55" spans="1:6">
      <c r="A55" s="47" t="s">
        <v>652</v>
      </c>
      <c r="B55" s="21">
        <v>1.02</v>
      </c>
      <c r="C55" t="s">
        <v>995</v>
      </c>
      <c r="D55" t="s">
        <v>259</v>
      </c>
      <c r="E55" t="s">
        <v>260</v>
      </c>
      <c r="F55" t="str">
        <f t="shared" si="0"/>
        <v>replace vp_rigid_2ch=1.02 if country=="Malaysia"</v>
      </c>
    </row>
    <row r="56" spans="1:6">
      <c r="A56" s="47" t="s">
        <v>109</v>
      </c>
      <c r="B56" s="21">
        <v>0.67666666666666664</v>
      </c>
      <c r="C56" t="s">
        <v>995</v>
      </c>
      <c r="D56" t="s">
        <v>259</v>
      </c>
      <c r="E56" t="s">
        <v>260</v>
      </c>
      <c r="F56" t="str">
        <f t="shared" si="0"/>
        <v>replace vp_rigid_2ch=0.676666666666667 if country=="Mauritius"</v>
      </c>
    </row>
    <row r="57" spans="1:6">
      <c r="A57" s="47" t="s">
        <v>17</v>
      </c>
      <c r="B57" s="21">
        <v>1.51</v>
      </c>
      <c r="C57" t="s">
        <v>995</v>
      </c>
      <c r="D57" t="s">
        <v>259</v>
      </c>
      <c r="E57" t="s">
        <v>260</v>
      </c>
      <c r="F57" t="str">
        <f t="shared" si="0"/>
        <v>replace vp_rigid_2ch=1.51 if country=="Mexico"</v>
      </c>
    </row>
    <row r="58" spans="1:6">
      <c r="A58" s="47" t="s">
        <v>102</v>
      </c>
      <c r="B58" s="21">
        <v>0.68666666666666665</v>
      </c>
      <c r="C58" t="s">
        <v>995</v>
      </c>
      <c r="D58" t="s">
        <v>259</v>
      </c>
      <c r="E58" t="s">
        <v>260</v>
      </c>
      <c r="F58" t="str">
        <f t="shared" si="0"/>
        <v>replace vp_rigid_2ch=0.686666666666667 if country=="Moldova"</v>
      </c>
    </row>
    <row r="59" spans="1:6">
      <c r="A59" s="47" t="s">
        <v>107</v>
      </c>
      <c r="B59" s="21">
        <v>0.76</v>
      </c>
      <c r="C59" t="s">
        <v>995</v>
      </c>
      <c r="D59" t="s">
        <v>259</v>
      </c>
      <c r="E59" t="s">
        <v>260</v>
      </c>
      <c r="F59" t="str">
        <f t="shared" si="0"/>
        <v>replace vp_rigid_2ch=0.76 if country=="Mongolia"</v>
      </c>
    </row>
    <row r="60" spans="1:6">
      <c r="A60" s="47" t="s">
        <v>106</v>
      </c>
      <c r="B60" s="21">
        <v>0.69666666666666666</v>
      </c>
      <c r="C60" t="s">
        <v>995</v>
      </c>
      <c r="D60" t="s">
        <v>259</v>
      </c>
      <c r="E60" t="s">
        <v>260</v>
      </c>
      <c r="F60" t="str">
        <f t="shared" si="0"/>
        <v>replace vp_rigid_2ch=0.696666666666667 if country=="Montenegro"</v>
      </c>
    </row>
    <row r="61" spans="1:6">
      <c r="A61" s="47" t="s">
        <v>111</v>
      </c>
      <c r="B61" s="21">
        <v>1</v>
      </c>
      <c r="C61" t="s">
        <v>995</v>
      </c>
      <c r="D61" t="s">
        <v>259</v>
      </c>
      <c r="E61" t="s">
        <v>260</v>
      </c>
      <c r="F61" t="str">
        <f t="shared" si="0"/>
        <v>replace vp_rigid_2ch=1 if country=="Namibia"</v>
      </c>
    </row>
    <row r="62" spans="1:6">
      <c r="A62" s="47" t="s">
        <v>114</v>
      </c>
      <c r="B62" s="32">
        <v>0.67666666666666664</v>
      </c>
      <c r="C62" t="s">
        <v>995</v>
      </c>
      <c r="D62" t="s">
        <v>259</v>
      </c>
      <c r="E62" t="s">
        <v>260</v>
      </c>
      <c r="F62" t="str">
        <f t="shared" si="0"/>
        <v>replace vp_rigid_2ch=0.676666666666667 if country=="Nepal"</v>
      </c>
    </row>
    <row r="63" spans="1:6">
      <c r="A63" s="47" t="s">
        <v>18</v>
      </c>
      <c r="B63" s="21">
        <v>1.51</v>
      </c>
      <c r="C63" t="s">
        <v>995</v>
      </c>
      <c r="D63" t="s">
        <v>259</v>
      </c>
      <c r="E63" t="s">
        <v>260</v>
      </c>
      <c r="F63" t="str">
        <f t="shared" si="0"/>
        <v>replace vp_rigid_2ch=1.51 if country=="Netherlands"</v>
      </c>
    </row>
    <row r="64" spans="1:6">
      <c r="A64" s="50" t="s">
        <v>265</v>
      </c>
      <c r="B64" s="21">
        <v>0.5</v>
      </c>
      <c r="C64" t="s">
        <v>995</v>
      </c>
      <c r="D64" t="s">
        <v>259</v>
      </c>
      <c r="E64" t="s">
        <v>260</v>
      </c>
      <c r="F64" t="str">
        <f t="shared" si="0"/>
        <v>replace vp_rigid_2ch=0.5 if country=="New Zealand"</v>
      </c>
    </row>
    <row r="65" spans="1:6">
      <c r="A65" s="47" t="s">
        <v>113</v>
      </c>
      <c r="B65" s="21">
        <v>0.61</v>
      </c>
      <c r="C65" t="s">
        <v>995</v>
      </c>
      <c r="D65" t="s">
        <v>259</v>
      </c>
      <c r="E65" t="s">
        <v>260</v>
      </c>
      <c r="F65" t="str">
        <f t="shared" si="0"/>
        <v>replace vp_rigid_2ch=0.61 if country=="Nicaragua"</v>
      </c>
    </row>
    <row r="66" spans="1:6">
      <c r="A66" s="47" t="s">
        <v>112</v>
      </c>
      <c r="B66" s="21">
        <v>1.24</v>
      </c>
      <c r="C66" t="s">
        <v>995</v>
      </c>
      <c r="D66" t="s">
        <v>259</v>
      </c>
      <c r="E66" t="s">
        <v>260</v>
      </c>
      <c r="F66" t="str">
        <f t="shared" ref="F66:F93" si="1">CONCATENATE(C66,B66,D66,A66,E66)</f>
        <v>replace vp_rigid_2ch=1.24 if country=="Niger"</v>
      </c>
    </row>
    <row r="67" spans="1:6">
      <c r="A67" s="45" t="s">
        <v>19</v>
      </c>
      <c r="B67" s="32">
        <v>0.67666666666666664</v>
      </c>
      <c r="C67" t="s">
        <v>995</v>
      </c>
      <c r="D67" t="s">
        <v>259</v>
      </c>
      <c r="E67" t="s">
        <v>260</v>
      </c>
      <c r="F67" t="str">
        <f t="shared" si="1"/>
        <v>replace vp_rigid_2ch=0.676666666666667 if country=="Norway"</v>
      </c>
    </row>
    <row r="68" spans="1:6">
      <c r="A68" s="45" t="s">
        <v>653</v>
      </c>
      <c r="B68" s="21">
        <v>1.01</v>
      </c>
      <c r="C68" t="s">
        <v>995</v>
      </c>
      <c r="D68" t="s">
        <v>259</v>
      </c>
      <c r="E68" t="s">
        <v>260</v>
      </c>
      <c r="F68" t="str">
        <f t="shared" si="1"/>
        <v>replace vp_rigid_2ch=1.01 if country=="Pakistan"</v>
      </c>
    </row>
    <row r="69" spans="1:6">
      <c r="A69" s="47" t="s">
        <v>115</v>
      </c>
      <c r="B69" s="21">
        <v>1.03</v>
      </c>
      <c r="C69" t="s">
        <v>995</v>
      </c>
      <c r="D69" t="s">
        <v>259</v>
      </c>
      <c r="E69" t="s">
        <v>260</v>
      </c>
      <c r="F69" t="str">
        <f t="shared" si="1"/>
        <v>replace vp_rigid_2ch=1.03 if country=="Panama"</v>
      </c>
    </row>
    <row r="70" spans="1:6">
      <c r="A70" s="47" t="s">
        <v>118</v>
      </c>
      <c r="B70" s="21">
        <v>1.2750000000000001</v>
      </c>
      <c r="C70" t="s">
        <v>995</v>
      </c>
      <c r="D70" t="s">
        <v>259</v>
      </c>
      <c r="E70" t="s">
        <v>260</v>
      </c>
      <c r="F70" t="str">
        <f t="shared" si="1"/>
        <v>replace vp_rigid_2ch=1.275 if country=="Paraguay"</v>
      </c>
    </row>
    <row r="71" spans="1:6">
      <c r="A71" s="47" t="s">
        <v>116</v>
      </c>
      <c r="B71" s="21">
        <v>1</v>
      </c>
      <c r="C71" t="s">
        <v>995</v>
      </c>
      <c r="D71" t="s">
        <v>259</v>
      </c>
      <c r="E71" t="s">
        <v>260</v>
      </c>
      <c r="F71" t="str">
        <f t="shared" si="1"/>
        <v>replace vp_rigid_2ch=1 if country=="Peru"</v>
      </c>
    </row>
    <row r="72" spans="1:6">
      <c r="A72" s="47" t="s">
        <v>117</v>
      </c>
      <c r="B72" s="21">
        <v>1.615</v>
      </c>
      <c r="C72" t="s">
        <v>995</v>
      </c>
      <c r="D72" t="s">
        <v>259</v>
      </c>
      <c r="E72" t="s">
        <v>260</v>
      </c>
      <c r="F72" t="str">
        <f t="shared" si="1"/>
        <v>replace vp_rigid_2ch=1.615 if country=="Philippines"</v>
      </c>
    </row>
    <row r="73" spans="1:6">
      <c r="A73" s="47" t="s">
        <v>20</v>
      </c>
      <c r="B73" s="21">
        <v>0.94166666666666665</v>
      </c>
      <c r="C73" t="s">
        <v>995</v>
      </c>
      <c r="D73" t="s">
        <v>259</v>
      </c>
      <c r="E73" t="s">
        <v>260</v>
      </c>
      <c r="F73" t="str">
        <f t="shared" si="1"/>
        <v>replace vp_rigid_2ch=0.941666666666667 if country=="Poland"</v>
      </c>
    </row>
    <row r="74" spans="1:6">
      <c r="A74" s="47" t="s">
        <v>21</v>
      </c>
      <c r="B74" s="21">
        <v>0.67666666666666664</v>
      </c>
      <c r="C74" t="s">
        <v>995</v>
      </c>
      <c r="D74" t="s">
        <v>259</v>
      </c>
      <c r="E74" t="s">
        <v>260</v>
      </c>
      <c r="F74" t="str">
        <f t="shared" si="1"/>
        <v>replace vp_rigid_2ch=0.676666666666667 if country=="Portugal"</v>
      </c>
    </row>
    <row r="75" spans="1:6">
      <c r="A75" s="47" t="s">
        <v>119</v>
      </c>
      <c r="B75" s="21">
        <v>1.5</v>
      </c>
      <c r="C75" t="s">
        <v>995</v>
      </c>
      <c r="D75" t="s">
        <v>259</v>
      </c>
      <c r="E75" t="s">
        <v>260</v>
      </c>
      <c r="F75" t="str">
        <f t="shared" si="1"/>
        <v>replace vp_rigid_2ch=1.5 if country=="Romania"</v>
      </c>
    </row>
    <row r="76" spans="1:6">
      <c r="A76" s="47" t="s">
        <v>121</v>
      </c>
      <c r="B76" s="21">
        <v>1.24</v>
      </c>
      <c r="C76" t="s">
        <v>995</v>
      </c>
      <c r="D76" t="s">
        <v>259</v>
      </c>
      <c r="E76" t="s">
        <v>260</v>
      </c>
      <c r="F76" t="str">
        <f t="shared" si="1"/>
        <v>replace vp_rigid_2ch=1.24 if country=="Senegal"</v>
      </c>
    </row>
    <row r="77" spans="1:6">
      <c r="A77" s="47" t="s">
        <v>132</v>
      </c>
      <c r="B77" s="21">
        <v>0.69666666666666666</v>
      </c>
      <c r="C77" t="s">
        <v>995</v>
      </c>
      <c r="D77" t="s">
        <v>259</v>
      </c>
      <c r="E77" t="s">
        <v>260</v>
      </c>
      <c r="F77" t="str">
        <f t="shared" si="1"/>
        <v>replace vp_rigid_2ch=0.696666666666667 if country=="Sierra Leone"</v>
      </c>
    </row>
    <row r="78" spans="1:6">
      <c r="A78" s="47" t="s">
        <v>22</v>
      </c>
      <c r="B78" s="21">
        <v>0.61</v>
      </c>
      <c r="C78" t="s">
        <v>995</v>
      </c>
      <c r="D78" t="s">
        <v>259</v>
      </c>
      <c r="E78" t="s">
        <v>260</v>
      </c>
      <c r="F78" t="str">
        <f t="shared" si="1"/>
        <v>replace vp_rigid_2ch=0.61 if country=="Slovakia"</v>
      </c>
    </row>
    <row r="79" spans="1:6">
      <c r="A79" s="47" t="s">
        <v>23</v>
      </c>
      <c r="B79" s="21">
        <v>0.68666666666666665</v>
      </c>
      <c r="C79" t="s">
        <v>995</v>
      </c>
      <c r="D79" t="s">
        <v>259</v>
      </c>
      <c r="E79" t="s">
        <v>260</v>
      </c>
      <c r="F79" t="str">
        <f t="shared" si="1"/>
        <v>replace vp_rigid_2ch=0.686666666666667 if country=="Slovenia"</v>
      </c>
    </row>
    <row r="80" spans="1:6">
      <c r="A80" s="47" t="s">
        <v>131</v>
      </c>
      <c r="B80" s="21">
        <v>0.69666666666666666</v>
      </c>
      <c r="C80" t="s">
        <v>995</v>
      </c>
      <c r="D80" t="s">
        <v>259</v>
      </c>
      <c r="E80" t="s">
        <v>260</v>
      </c>
      <c r="F80" t="str">
        <f t="shared" si="1"/>
        <v>replace vp_rigid_2ch=0.696666666666667 if country=="Solomon Islands"</v>
      </c>
    </row>
    <row r="81" spans="1:6">
      <c r="A81" s="47" t="s">
        <v>137</v>
      </c>
      <c r="B81" s="21">
        <v>0.71666666666666667</v>
      </c>
      <c r="C81" t="s">
        <v>995</v>
      </c>
      <c r="D81" t="s">
        <v>259</v>
      </c>
      <c r="E81" t="s">
        <v>260</v>
      </c>
      <c r="F81" t="str">
        <f t="shared" si="1"/>
        <v>replace vp_rigid_2ch=0.716666666666667 if country=="South Africa"</v>
      </c>
    </row>
    <row r="82" spans="1:6">
      <c r="A82" s="50" t="s">
        <v>24</v>
      </c>
      <c r="B82" s="21">
        <v>0.8899999999999999</v>
      </c>
      <c r="C82" t="s">
        <v>995</v>
      </c>
      <c r="D82" t="s">
        <v>259</v>
      </c>
      <c r="E82" t="s">
        <v>260</v>
      </c>
      <c r="F82" t="str">
        <f t="shared" si="1"/>
        <v>replace vp_rigid_2ch=0.89 if country=="Spain"</v>
      </c>
    </row>
    <row r="83" spans="1:6">
      <c r="A83" s="47" t="s">
        <v>25</v>
      </c>
      <c r="B83" s="21">
        <v>0.99</v>
      </c>
      <c r="C83" t="s">
        <v>995</v>
      </c>
      <c r="D83" t="s">
        <v>259</v>
      </c>
      <c r="E83" t="s">
        <v>260</v>
      </c>
      <c r="F83" t="str">
        <f t="shared" si="1"/>
        <v>replace vp_rigid_2ch=0.99 if country=="Sweden"</v>
      </c>
    </row>
    <row r="84" spans="1:6">
      <c r="A84" s="47" t="s">
        <v>26</v>
      </c>
      <c r="B84" s="21">
        <v>0.99</v>
      </c>
      <c r="C84" t="s">
        <v>995</v>
      </c>
      <c r="D84" t="s">
        <v>259</v>
      </c>
      <c r="E84" t="s">
        <v>260</v>
      </c>
      <c r="F84" t="str">
        <f t="shared" si="1"/>
        <v>replace vp_rigid_2ch=0.99 if country=="Switzerland"</v>
      </c>
    </row>
    <row r="85" spans="1:6">
      <c r="A85" s="47" t="s">
        <v>122</v>
      </c>
      <c r="B85" s="21">
        <v>1.27</v>
      </c>
      <c r="C85" t="s">
        <v>995</v>
      </c>
      <c r="D85" t="s">
        <v>259</v>
      </c>
      <c r="E85" t="s">
        <v>260</v>
      </c>
      <c r="F85" t="str">
        <f t="shared" si="1"/>
        <v>replace vp_rigid_2ch=1.27 if country=="Taiwan"</v>
      </c>
    </row>
    <row r="86" spans="1:6">
      <c r="A86" s="47" t="s">
        <v>654</v>
      </c>
      <c r="B86" s="21">
        <v>0.78</v>
      </c>
      <c r="C86" t="s">
        <v>995</v>
      </c>
      <c r="D86" t="s">
        <v>259</v>
      </c>
      <c r="E86" t="s">
        <v>260</v>
      </c>
      <c r="F86" t="str">
        <f t="shared" si="1"/>
        <v>replace vp_rigid_2ch=0.78 if country=="Thailand"</v>
      </c>
    </row>
    <row r="87" spans="1:6">
      <c r="A87" s="47" t="s">
        <v>261</v>
      </c>
      <c r="B87" s="21">
        <v>1.01</v>
      </c>
      <c r="C87" t="s">
        <v>995</v>
      </c>
      <c r="D87" t="s">
        <v>259</v>
      </c>
      <c r="E87" t="s">
        <v>260</v>
      </c>
      <c r="F87" t="str">
        <f t="shared" si="1"/>
        <v>replace vp_rigid_2ch=1.01 if country=="Trinidad And Tobago"</v>
      </c>
    </row>
    <row r="88" spans="1:6">
      <c r="A88" s="47" t="s">
        <v>657</v>
      </c>
      <c r="B88" s="21">
        <v>1.61</v>
      </c>
      <c r="C88" t="s">
        <v>995</v>
      </c>
      <c r="D88" t="s">
        <v>259</v>
      </c>
      <c r="E88" t="s">
        <v>260</v>
      </c>
      <c r="F88" t="str">
        <f t="shared" si="1"/>
        <v>replace vp_rigid_2ch=1.61 if country=="Turkey/Ottoman Empire"</v>
      </c>
    </row>
    <row r="89" spans="1:6">
      <c r="A89" s="47" t="s">
        <v>123</v>
      </c>
      <c r="B89" s="21">
        <v>0.68666666666666665</v>
      </c>
      <c r="C89" t="s">
        <v>995</v>
      </c>
      <c r="D89" t="s">
        <v>259</v>
      </c>
      <c r="E89" t="s">
        <v>260</v>
      </c>
      <c r="F89" t="str">
        <f t="shared" si="1"/>
        <v>replace vp_rigid_2ch=0.686666666666667 if country=="Ukraine"</v>
      </c>
    </row>
    <row r="90" spans="1:6">
      <c r="A90" s="47" t="s">
        <v>124</v>
      </c>
      <c r="B90" s="21">
        <v>0.5</v>
      </c>
      <c r="C90" t="s">
        <v>995</v>
      </c>
      <c r="D90" t="s">
        <v>259</v>
      </c>
      <c r="E90" t="s">
        <v>260</v>
      </c>
      <c r="F90" t="str">
        <f t="shared" si="1"/>
        <v>replace vp_rigid_2ch=0.5 if country=="Uruguay"</v>
      </c>
    </row>
    <row r="91" spans="1:6">
      <c r="A91" s="47" t="s">
        <v>972</v>
      </c>
      <c r="B91" s="21">
        <v>1.74</v>
      </c>
      <c r="C91" t="s">
        <v>995</v>
      </c>
      <c r="D91" t="s">
        <v>259</v>
      </c>
      <c r="E91" t="s">
        <v>260</v>
      </c>
      <c r="F91" t="str">
        <f t="shared" si="1"/>
        <v>replace vp_rigid_2ch=1.74 if country=="United States Of America"</v>
      </c>
    </row>
    <row r="92" spans="1:6">
      <c r="A92" s="47" t="s">
        <v>134</v>
      </c>
      <c r="B92" s="21">
        <v>0.67666666666666664</v>
      </c>
      <c r="C92" t="s">
        <v>995</v>
      </c>
      <c r="D92" t="s">
        <v>259</v>
      </c>
      <c r="E92" t="s">
        <v>260</v>
      </c>
      <c r="F92" t="str">
        <f t="shared" si="1"/>
        <v>replace vp_rigid_2ch=0.676666666666667 if country=="Yugoslavia (Serbia)"</v>
      </c>
    </row>
    <row r="93" spans="1:6">
      <c r="A93" s="47" t="s">
        <v>126</v>
      </c>
      <c r="B93" s="21">
        <v>0.69666666666666666</v>
      </c>
      <c r="C93" t="s">
        <v>995</v>
      </c>
      <c r="D93" t="s">
        <v>259</v>
      </c>
      <c r="E93" t="s">
        <v>260</v>
      </c>
      <c r="F93" t="str">
        <f t="shared" si="1"/>
        <v>replace vp_rigid_2ch=0.696666666666667 if country=="Zambia"</v>
      </c>
    </row>
    <row r="100" spans="2:2">
      <c r="B100" s="1"/>
    </row>
    <row r="101" spans="2:2">
      <c r="B101" s="1"/>
    </row>
    <row r="102" spans="2:2">
      <c r="B102" s="1"/>
    </row>
    <row r="103" spans="2:2">
      <c r="B103" s="1"/>
    </row>
  </sheetData>
  <phoneticPr fontId="2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6"/>
  <sheetViews>
    <sheetView topLeftCell="A73" workbookViewId="0">
      <selection activeCell="H107" sqref="H107"/>
    </sheetView>
  </sheetViews>
  <sheetFormatPr defaultColWidth="10.81640625" defaultRowHeight="19.2"/>
  <cols>
    <col min="1" max="1" width="10.81640625" style="45"/>
    <col min="2" max="2" width="13.1796875" style="45" customWidth="1"/>
  </cols>
  <sheetData>
    <row r="1" spans="1:6">
      <c r="B1" s="43" t="s">
        <v>275</v>
      </c>
    </row>
    <row r="2" spans="1:6">
      <c r="A2" s="50" t="s">
        <v>72</v>
      </c>
      <c r="B2" s="45">
        <v>1</v>
      </c>
      <c r="C2" t="s">
        <v>971</v>
      </c>
      <c r="D2" t="s">
        <v>259</v>
      </c>
      <c r="E2" t="s">
        <v>260</v>
      </c>
      <c r="F2" t="str">
        <f>CONCATENATE(C2,B2,D2,A2,E2)</f>
        <v>replace t_appr_bodies_coded=1 if country=="Albania"</v>
      </c>
    </row>
    <row r="3" spans="1:6">
      <c r="A3" s="47" t="s">
        <v>73</v>
      </c>
      <c r="B3" s="46">
        <v>3</v>
      </c>
      <c r="C3" t="s">
        <v>971</v>
      </c>
      <c r="D3" t="s">
        <v>259</v>
      </c>
      <c r="E3" t="s">
        <v>260</v>
      </c>
      <c r="F3" t="str">
        <f t="shared" ref="F3:F66" si="0">CONCATENATE(C3,B3,D3,A3,E3)</f>
        <v>replace t_appr_bodies_coded=3 if country=="Argentina"</v>
      </c>
    </row>
    <row r="4" spans="1:6">
      <c r="A4" s="47" t="s">
        <v>0</v>
      </c>
      <c r="B4" s="45">
        <v>3</v>
      </c>
      <c r="C4" t="s">
        <v>971</v>
      </c>
      <c r="D4" t="s">
        <v>259</v>
      </c>
      <c r="E4" t="s">
        <v>260</v>
      </c>
      <c r="F4" t="str">
        <f t="shared" si="0"/>
        <v>replace t_appr_bodies_coded=3 if country=="Australia"</v>
      </c>
    </row>
    <row r="5" spans="1:6">
      <c r="A5" s="47" t="s">
        <v>1</v>
      </c>
      <c r="B5" s="46">
        <v>1</v>
      </c>
      <c r="C5" t="s">
        <v>971</v>
      </c>
      <c r="D5" t="s">
        <v>259</v>
      </c>
      <c r="E5" t="s">
        <v>260</v>
      </c>
      <c r="F5" t="str">
        <f t="shared" si="0"/>
        <v>replace t_appr_bodies_coded=1 if country=="Austria"</v>
      </c>
    </row>
    <row r="6" spans="1:6">
      <c r="A6" s="47" t="s">
        <v>2</v>
      </c>
      <c r="B6" s="45">
        <v>2</v>
      </c>
      <c r="C6" t="s">
        <v>971</v>
      </c>
      <c r="D6" t="s">
        <v>259</v>
      </c>
      <c r="E6" t="s">
        <v>260</v>
      </c>
      <c r="F6" t="str">
        <f t="shared" si="0"/>
        <v>replace t_appr_bodies_coded=2 if country=="Belgium"</v>
      </c>
    </row>
    <row r="7" spans="1:6">
      <c r="A7" s="47" t="s">
        <v>76</v>
      </c>
      <c r="B7" s="45">
        <v>2</v>
      </c>
      <c r="C7" t="s">
        <v>971</v>
      </c>
      <c r="D7" t="s">
        <v>259</v>
      </c>
      <c r="E7" t="s">
        <v>260</v>
      </c>
      <c r="F7" t="str">
        <f t="shared" si="0"/>
        <v>replace t_appr_bodies_coded=2 if country=="Benin"</v>
      </c>
    </row>
    <row r="8" spans="1:6">
      <c r="A8" s="50" t="s">
        <v>79</v>
      </c>
      <c r="B8" s="46">
        <v>2</v>
      </c>
      <c r="C8" t="s">
        <v>971</v>
      </c>
      <c r="D8" t="s">
        <v>259</v>
      </c>
      <c r="E8" t="s">
        <v>260</v>
      </c>
      <c r="F8" t="str">
        <f t="shared" si="0"/>
        <v>replace t_appr_bodies_coded=2 if country=="Bolivia"</v>
      </c>
    </row>
    <row r="9" spans="1:6">
      <c r="A9" s="50" t="s">
        <v>81</v>
      </c>
      <c r="B9" s="46">
        <v>1</v>
      </c>
      <c r="C9" t="s">
        <v>971</v>
      </c>
      <c r="D9" t="s">
        <v>259</v>
      </c>
      <c r="E9" t="s">
        <v>260</v>
      </c>
      <c r="F9" t="str">
        <f t="shared" si="0"/>
        <v>replace t_appr_bodies_coded=1 if country=="Botswana"</v>
      </c>
    </row>
    <row r="10" spans="1:6">
      <c r="A10" s="47" t="s">
        <v>80</v>
      </c>
      <c r="B10" s="48">
        <v>2</v>
      </c>
      <c r="C10" t="s">
        <v>971</v>
      </c>
      <c r="D10" t="s">
        <v>259</v>
      </c>
      <c r="E10" t="s">
        <v>260</v>
      </c>
      <c r="F10" t="str">
        <f t="shared" si="0"/>
        <v>replace t_appr_bodies_coded=2 if country=="Brazil"</v>
      </c>
    </row>
    <row r="11" spans="1:6">
      <c r="A11" s="47" t="s">
        <v>78</v>
      </c>
      <c r="B11" s="45">
        <v>1</v>
      </c>
      <c r="C11" t="s">
        <v>971</v>
      </c>
      <c r="D11" t="s">
        <v>259</v>
      </c>
      <c r="E11" t="s">
        <v>260</v>
      </c>
      <c r="F11" t="str">
        <f t="shared" si="0"/>
        <v>replace t_appr_bodies_coded=1 if country=="Bulgaria"</v>
      </c>
    </row>
    <row r="12" spans="1:6">
      <c r="A12" s="47" t="s">
        <v>75</v>
      </c>
      <c r="B12" s="45">
        <v>2</v>
      </c>
      <c r="C12" t="s">
        <v>971</v>
      </c>
      <c r="D12" t="s">
        <v>259</v>
      </c>
      <c r="E12" t="s">
        <v>260</v>
      </c>
      <c r="F12" t="str">
        <f t="shared" si="0"/>
        <v>replace t_appr_bodies_coded=2 if country=="Burundi"</v>
      </c>
    </row>
    <row r="13" spans="1:6">
      <c r="A13" s="47" t="s">
        <v>3</v>
      </c>
      <c r="B13" s="46">
        <v>3</v>
      </c>
      <c r="C13" t="s">
        <v>971</v>
      </c>
      <c r="D13" t="s">
        <v>259</v>
      </c>
      <c r="E13" t="s">
        <v>260</v>
      </c>
      <c r="F13" t="str">
        <f t="shared" si="0"/>
        <v>replace t_appr_bodies_coded=3 if country=="Canada"</v>
      </c>
    </row>
    <row r="14" spans="1:6">
      <c r="A14" s="47" t="s">
        <v>127</v>
      </c>
      <c r="B14" s="45">
        <v>1</v>
      </c>
      <c r="C14" t="s">
        <v>971</v>
      </c>
      <c r="D14" t="s">
        <v>259</v>
      </c>
      <c r="E14" t="s">
        <v>260</v>
      </c>
      <c r="F14" t="str">
        <f t="shared" si="0"/>
        <v>replace t_appr_bodies_coded=1 if country=="Cape Verde"</v>
      </c>
    </row>
    <row r="15" spans="1:6">
      <c r="A15" s="47" t="s">
        <v>4</v>
      </c>
      <c r="B15" s="49">
        <v>3</v>
      </c>
      <c r="C15" t="s">
        <v>971</v>
      </c>
      <c r="D15" t="s">
        <v>259</v>
      </c>
      <c r="E15" t="s">
        <v>260</v>
      </c>
      <c r="F15" t="str">
        <f t="shared" si="0"/>
        <v>replace t_appr_bodies_coded=3 if country=="Chile"</v>
      </c>
    </row>
    <row r="16" spans="1:6">
      <c r="A16" s="47" t="s">
        <v>82</v>
      </c>
      <c r="B16" s="48">
        <v>2</v>
      </c>
      <c r="C16" t="s">
        <v>971</v>
      </c>
      <c r="D16" t="s">
        <v>259</v>
      </c>
      <c r="E16" t="s">
        <v>260</v>
      </c>
      <c r="F16" t="str">
        <f t="shared" si="0"/>
        <v>replace t_appr_bodies_coded=2 if country=="Colombia"</v>
      </c>
    </row>
    <row r="17" spans="1:6">
      <c r="A17" s="47" t="s">
        <v>650</v>
      </c>
      <c r="B17" s="45">
        <v>2</v>
      </c>
      <c r="C17" t="s">
        <v>971</v>
      </c>
      <c r="D17" t="s">
        <v>259</v>
      </c>
      <c r="E17" t="s">
        <v>260</v>
      </c>
      <c r="F17" t="str">
        <f t="shared" si="0"/>
        <v>replace t_appr_bodies_coded=2 if country=="Comoros"</v>
      </c>
    </row>
    <row r="18" spans="1:6">
      <c r="A18" s="47" t="s">
        <v>128</v>
      </c>
      <c r="B18" s="45">
        <v>2</v>
      </c>
      <c r="C18" t="s">
        <v>971</v>
      </c>
      <c r="D18" t="s">
        <v>259</v>
      </c>
      <c r="E18" t="s">
        <v>260</v>
      </c>
      <c r="F18" t="str">
        <f t="shared" si="0"/>
        <v>replace t_appr_bodies_coded=2 if country=="Costa Rica"</v>
      </c>
    </row>
    <row r="19" spans="1:6">
      <c r="A19" s="47" t="s">
        <v>91</v>
      </c>
      <c r="B19" s="46">
        <v>1</v>
      </c>
      <c r="C19" t="s">
        <v>971</v>
      </c>
      <c r="D19" t="s">
        <v>259</v>
      </c>
      <c r="E19" t="s">
        <v>260</v>
      </c>
      <c r="F19" t="str">
        <f t="shared" si="0"/>
        <v>replace t_appr_bodies_coded=1 if country=="Croatia"</v>
      </c>
    </row>
    <row r="20" spans="1:6">
      <c r="A20" s="47" t="s">
        <v>83</v>
      </c>
      <c r="B20" s="46">
        <v>1</v>
      </c>
      <c r="C20" t="s">
        <v>971</v>
      </c>
      <c r="D20" t="s">
        <v>259</v>
      </c>
      <c r="E20" t="s">
        <v>260</v>
      </c>
      <c r="F20" t="str">
        <f t="shared" si="0"/>
        <v>replace t_appr_bodies_coded=1 if country=="Cyprus"</v>
      </c>
    </row>
    <row r="21" spans="1:6">
      <c r="A21" s="50" t="s">
        <v>5</v>
      </c>
      <c r="B21" s="45">
        <v>2</v>
      </c>
      <c r="C21" t="s">
        <v>971</v>
      </c>
      <c r="D21" t="s">
        <v>259</v>
      </c>
      <c r="E21" t="s">
        <v>260</v>
      </c>
      <c r="F21" t="str">
        <f t="shared" si="0"/>
        <v>replace t_appr_bodies_coded=2 if country=="Czech Republic"</v>
      </c>
    </row>
    <row r="22" spans="1:6">
      <c r="A22" s="50" t="s">
        <v>6</v>
      </c>
      <c r="B22" s="46">
        <v>3</v>
      </c>
      <c r="C22" t="s">
        <v>971</v>
      </c>
      <c r="D22" t="s">
        <v>259</v>
      </c>
      <c r="E22" t="s">
        <v>260</v>
      </c>
      <c r="F22" t="str">
        <f t="shared" si="0"/>
        <v>replace t_appr_bodies_coded=3 if country=="Denmark"</v>
      </c>
    </row>
    <row r="23" spans="1:6">
      <c r="A23" s="47" t="s">
        <v>129</v>
      </c>
      <c r="B23" s="46">
        <v>3</v>
      </c>
      <c r="C23" t="s">
        <v>971</v>
      </c>
      <c r="D23" t="s">
        <v>259</v>
      </c>
      <c r="E23" t="s">
        <v>260</v>
      </c>
      <c r="F23" t="str">
        <f t="shared" si="0"/>
        <v>replace t_appr_bodies_coded=3 if country=="Dominican Republic"</v>
      </c>
    </row>
    <row r="24" spans="1:6">
      <c r="A24" s="47" t="s">
        <v>135</v>
      </c>
      <c r="B24" s="46">
        <v>1</v>
      </c>
      <c r="C24" t="s">
        <v>971</v>
      </c>
      <c r="D24" t="s">
        <v>259</v>
      </c>
      <c r="E24" t="s">
        <v>260</v>
      </c>
      <c r="F24" t="str">
        <f t="shared" si="0"/>
        <v>replace t_appr_bodies_coded=1 if country=="East Timor"</v>
      </c>
    </row>
    <row r="25" spans="1:6">
      <c r="A25" s="47" t="s">
        <v>133</v>
      </c>
      <c r="B25" s="45">
        <v>1</v>
      </c>
      <c r="C25" t="s">
        <v>971</v>
      </c>
      <c r="D25" t="s">
        <v>259</v>
      </c>
      <c r="E25" t="s">
        <v>260</v>
      </c>
      <c r="F25" t="str">
        <f t="shared" si="0"/>
        <v>replace t_appr_bodies_coded=1 if country=="El Salvador"</v>
      </c>
    </row>
    <row r="26" spans="1:6">
      <c r="A26" s="47" t="s">
        <v>7</v>
      </c>
      <c r="B26" s="45">
        <v>2</v>
      </c>
      <c r="C26" t="s">
        <v>971</v>
      </c>
      <c r="D26" t="s">
        <v>259</v>
      </c>
      <c r="E26" t="s">
        <v>260</v>
      </c>
      <c r="F26" t="str">
        <f t="shared" si="0"/>
        <v>replace t_appr_bodies_coded=2 if country=="Estonia"</v>
      </c>
    </row>
    <row r="27" spans="1:6">
      <c r="A27" s="47" t="s">
        <v>8</v>
      </c>
      <c r="B27" s="46">
        <v>2</v>
      </c>
      <c r="C27" t="s">
        <v>971</v>
      </c>
      <c r="D27" t="s">
        <v>259</v>
      </c>
      <c r="E27" t="s">
        <v>260</v>
      </c>
      <c r="F27" t="str">
        <f t="shared" si="0"/>
        <v>replace t_appr_bodies_coded=2 if country=="Finland"</v>
      </c>
    </row>
    <row r="28" spans="1:6">
      <c r="A28" s="47" t="s">
        <v>9</v>
      </c>
      <c r="B28" s="45">
        <v>3</v>
      </c>
      <c r="C28" t="s">
        <v>971</v>
      </c>
      <c r="D28" t="s">
        <v>259</v>
      </c>
      <c r="E28" t="s">
        <v>260</v>
      </c>
      <c r="F28" t="str">
        <f t="shared" si="0"/>
        <v>replace t_appr_bodies_coded=3 if country=="France"</v>
      </c>
    </row>
    <row r="29" spans="1:6">
      <c r="A29" s="47" t="s">
        <v>85</v>
      </c>
      <c r="B29" s="45">
        <v>1</v>
      </c>
      <c r="C29" t="s">
        <v>971</v>
      </c>
      <c r="D29" t="s">
        <v>259</v>
      </c>
      <c r="E29" t="s">
        <v>260</v>
      </c>
      <c r="F29" t="str">
        <f t="shared" si="0"/>
        <v>replace t_appr_bodies_coded=1 if country=="Georgia"</v>
      </c>
    </row>
    <row r="30" spans="1:6">
      <c r="A30" s="47" t="s">
        <v>655</v>
      </c>
      <c r="B30" s="45">
        <v>2</v>
      </c>
      <c r="C30" t="s">
        <v>971</v>
      </c>
      <c r="D30" t="s">
        <v>259</v>
      </c>
      <c r="E30" t="s">
        <v>260</v>
      </c>
      <c r="F30" t="str">
        <f t="shared" si="0"/>
        <v>replace t_appr_bodies_coded=2 if country=="German Federal Republic"</v>
      </c>
    </row>
    <row r="31" spans="1:6">
      <c r="A31" s="47" t="s">
        <v>86</v>
      </c>
      <c r="B31" s="45">
        <v>1</v>
      </c>
      <c r="C31" t="s">
        <v>971</v>
      </c>
      <c r="D31" t="s">
        <v>259</v>
      </c>
      <c r="E31" t="s">
        <v>260</v>
      </c>
      <c r="F31" t="str">
        <f t="shared" si="0"/>
        <v>replace t_appr_bodies_coded=1 if country=="Ghana"</v>
      </c>
    </row>
    <row r="32" spans="1:6">
      <c r="A32" s="47" t="s">
        <v>10</v>
      </c>
      <c r="B32" s="45">
        <v>2</v>
      </c>
      <c r="C32" t="s">
        <v>971</v>
      </c>
      <c r="D32" t="s">
        <v>259</v>
      </c>
      <c r="E32" t="s">
        <v>260</v>
      </c>
      <c r="F32" t="str">
        <f t="shared" si="0"/>
        <v>replace t_appr_bodies_coded=2 if country=="Greece"</v>
      </c>
    </row>
    <row r="33" spans="1:6">
      <c r="A33" s="47" t="s">
        <v>88</v>
      </c>
      <c r="B33" s="45">
        <v>2</v>
      </c>
      <c r="C33" t="s">
        <v>971</v>
      </c>
      <c r="D33" t="s">
        <v>259</v>
      </c>
      <c r="E33" t="s">
        <v>260</v>
      </c>
      <c r="F33" t="str">
        <f t="shared" si="0"/>
        <v>replace t_appr_bodies_coded=2 if country=="Guatemala"</v>
      </c>
    </row>
    <row r="34" spans="1:6">
      <c r="A34" s="47" t="s">
        <v>89</v>
      </c>
      <c r="B34" s="45">
        <v>2</v>
      </c>
      <c r="C34" t="s">
        <v>971</v>
      </c>
      <c r="D34" t="s">
        <v>259</v>
      </c>
      <c r="E34" t="s">
        <v>260</v>
      </c>
      <c r="F34" t="str">
        <f t="shared" si="0"/>
        <v>replace t_appr_bodies_coded=2 if country=="Guyana"</v>
      </c>
    </row>
    <row r="35" spans="1:6">
      <c r="A35" s="47" t="s">
        <v>90</v>
      </c>
      <c r="B35" s="45">
        <v>1</v>
      </c>
      <c r="C35" t="s">
        <v>971</v>
      </c>
      <c r="D35" t="s">
        <v>259</v>
      </c>
      <c r="E35" t="s">
        <v>260</v>
      </c>
      <c r="F35" t="str">
        <f t="shared" si="0"/>
        <v>replace t_appr_bodies_coded=1 if country=="Honduras"</v>
      </c>
    </row>
    <row r="36" spans="1:6">
      <c r="A36" s="50" t="s">
        <v>11</v>
      </c>
      <c r="B36" s="46">
        <v>1</v>
      </c>
      <c r="C36" t="s">
        <v>971</v>
      </c>
      <c r="D36" t="s">
        <v>259</v>
      </c>
      <c r="E36" t="s">
        <v>260</v>
      </c>
      <c r="F36" t="str">
        <f t="shared" si="0"/>
        <v>replace t_appr_bodies_coded=1 if country=="Hungary"</v>
      </c>
    </row>
    <row r="37" spans="1:6">
      <c r="A37" s="47" t="s">
        <v>12</v>
      </c>
      <c r="B37" s="46">
        <v>3</v>
      </c>
      <c r="C37" t="s">
        <v>971</v>
      </c>
      <c r="D37" t="s">
        <v>259</v>
      </c>
      <c r="E37" t="s">
        <v>260</v>
      </c>
      <c r="F37" t="str">
        <f t="shared" si="0"/>
        <v>replace t_appr_bodies_coded=3 if country=="Iceland"</v>
      </c>
    </row>
    <row r="38" spans="1:6">
      <c r="A38" s="47" t="s">
        <v>94</v>
      </c>
      <c r="B38" s="45">
        <v>2</v>
      </c>
      <c r="C38" t="s">
        <v>971</v>
      </c>
      <c r="D38" t="s">
        <v>259</v>
      </c>
      <c r="E38" t="s">
        <v>260</v>
      </c>
      <c r="F38" t="str">
        <f t="shared" si="0"/>
        <v>replace t_appr_bodies_coded=2 if country=="India"</v>
      </c>
    </row>
    <row r="39" spans="1:6">
      <c r="A39" s="47" t="s">
        <v>93</v>
      </c>
      <c r="B39" s="45">
        <v>2</v>
      </c>
      <c r="C39" t="s">
        <v>971</v>
      </c>
      <c r="D39" t="s">
        <v>259</v>
      </c>
      <c r="E39" t="s">
        <v>260</v>
      </c>
      <c r="F39" t="str">
        <f t="shared" si="0"/>
        <v>replace t_appr_bodies_coded=2 if country=="Indonesia"</v>
      </c>
    </row>
    <row r="40" spans="1:6">
      <c r="A40" s="47" t="s">
        <v>13</v>
      </c>
      <c r="B40" s="46">
        <v>3</v>
      </c>
      <c r="C40" t="s">
        <v>971</v>
      </c>
      <c r="D40" t="s">
        <v>259</v>
      </c>
      <c r="E40" t="s">
        <v>260</v>
      </c>
      <c r="F40" t="str">
        <f t="shared" si="0"/>
        <v>replace t_appr_bodies_coded=3 if country=="Ireland"</v>
      </c>
    </row>
    <row r="41" spans="1:6">
      <c r="A41" s="50" t="s">
        <v>651</v>
      </c>
      <c r="B41" s="45">
        <v>3</v>
      </c>
      <c r="C41" t="s">
        <v>971</v>
      </c>
      <c r="D41" t="s">
        <v>259</v>
      </c>
      <c r="E41" t="s">
        <v>260</v>
      </c>
      <c r="F41" t="str">
        <f t="shared" si="0"/>
        <v>replace t_appr_bodies_coded=3 if country=="Italy/Sardinia"</v>
      </c>
    </row>
    <row r="42" spans="1:6">
      <c r="A42" s="50" t="s">
        <v>95</v>
      </c>
      <c r="B42" s="45">
        <v>2</v>
      </c>
      <c r="C42" t="s">
        <v>971</v>
      </c>
      <c r="D42" t="s">
        <v>259</v>
      </c>
      <c r="E42" t="s">
        <v>260</v>
      </c>
      <c r="F42" t="str">
        <f t="shared" si="0"/>
        <v>replace t_appr_bodies_coded=2 if country=="Jamaica"</v>
      </c>
    </row>
    <row r="43" spans="1:6">
      <c r="A43" s="47" t="s">
        <v>14</v>
      </c>
      <c r="B43" s="45">
        <v>3</v>
      </c>
      <c r="C43" t="s">
        <v>971</v>
      </c>
      <c r="D43" t="s">
        <v>259</v>
      </c>
      <c r="E43" t="s">
        <v>260</v>
      </c>
      <c r="F43" t="str">
        <f t="shared" si="0"/>
        <v>replace t_appr_bodies_coded=3 if country=="Japan"</v>
      </c>
    </row>
    <row r="44" spans="1:6">
      <c r="A44" s="47" t="s">
        <v>96</v>
      </c>
      <c r="B44" s="46">
        <v>3</v>
      </c>
      <c r="C44" t="s">
        <v>971</v>
      </c>
      <c r="D44" t="s">
        <v>259</v>
      </c>
      <c r="E44" t="s">
        <v>260</v>
      </c>
      <c r="F44" t="str">
        <f t="shared" si="0"/>
        <v>replace t_appr_bodies_coded=3 if country=="Kenya"</v>
      </c>
    </row>
    <row r="45" spans="1:6">
      <c r="A45" s="47" t="s">
        <v>15</v>
      </c>
      <c r="B45" s="46">
        <v>2</v>
      </c>
      <c r="C45" t="s">
        <v>971</v>
      </c>
      <c r="D45" t="s">
        <v>259</v>
      </c>
      <c r="E45" t="s">
        <v>260</v>
      </c>
      <c r="F45" t="str">
        <f t="shared" si="0"/>
        <v>replace t_appr_bodies_coded=2 if country=="Korea, Republic Of"</v>
      </c>
    </row>
    <row r="46" spans="1:6">
      <c r="A46" s="47" t="s">
        <v>656</v>
      </c>
      <c r="B46" s="45">
        <v>1</v>
      </c>
      <c r="C46" t="s">
        <v>971</v>
      </c>
      <c r="D46" t="s">
        <v>259</v>
      </c>
      <c r="E46" t="s">
        <v>260</v>
      </c>
      <c r="F46" t="str">
        <f t="shared" si="0"/>
        <v>replace t_appr_bodies_coded=1 if country=="Kyrgyz Republic"</v>
      </c>
    </row>
    <row r="47" spans="1:6">
      <c r="A47" s="47" t="s">
        <v>101</v>
      </c>
      <c r="B47" s="45">
        <v>1</v>
      </c>
      <c r="C47" t="s">
        <v>971</v>
      </c>
      <c r="D47" t="s">
        <v>259</v>
      </c>
      <c r="E47" t="s">
        <v>260</v>
      </c>
      <c r="F47" t="str">
        <f t="shared" si="0"/>
        <v>replace t_appr_bodies_coded=1 if country=="Latvia"</v>
      </c>
    </row>
    <row r="48" spans="1:6">
      <c r="A48" s="47" t="s">
        <v>97</v>
      </c>
      <c r="B48" s="45">
        <v>1</v>
      </c>
      <c r="C48" t="s">
        <v>971</v>
      </c>
      <c r="D48" t="s">
        <v>259</v>
      </c>
      <c r="E48" t="s">
        <v>260</v>
      </c>
      <c r="F48" t="str">
        <f t="shared" si="0"/>
        <v>replace t_appr_bodies_coded=1 if country=="Lebanon"</v>
      </c>
    </row>
    <row r="49" spans="1:6">
      <c r="A49" s="47" t="s">
        <v>99</v>
      </c>
      <c r="B49" s="48">
        <v>3</v>
      </c>
      <c r="C49" t="s">
        <v>971</v>
      </c>
      <c r="D49" t="s">
        <v>259</v>
      </c>
      <c r="E49" t="s">
        <v>260</v>
      </c>
      <c r="F49" t="str">
        <f t="shared" si="0"/>
        <v>replace t_appr_bodies_coded=3 if country=="Lesotho"</v>
      </c>
    </row>
    <row r="50" spans="1:6">
      <c r="A50" s="47" t="s">
        <v>98</v>
      </c>
      <c r="B50" s="45">
        <v>3</v>
      </c>
      <c r="C50" t="s">
        <v>971</v>
      </c>
      <c r="D50" t="s">
        <v>259</v>
      </c>
      <c r="E50" t="s">
        <v>260</v>
      </c>
      <c r="F50" t="str">
        <f t="shared" si="0"/>
        <v>replace t_appr_bodies_coded=3 if country=="Liberia"</v>
      </c>
    </row>
    <row r="51" spans="1:6">
      <c r="A51" s="47" t="s">
        <v>100</v>
      </c>
      <c r="B51" s="45">
        <v>1</v>
      </c>
      <c r="C51" t="s">
        <v>971</v>
      </c>
      <c r="D51" t="s">
        <v>259</v>
      </c>
      <c r="E51" t="s">
        <v>260</v>
      </c>
      <c r="F51" t="str">
        <f t="shared" si="0"/>
        <v>replace t_appr_bodies_coded=1 if country=="Lithuania"</v>
      </c>
    </row>
    <row r="52" spans="1:6">
      <c r="A52" s="47" t="s">
        <v>16</v>
      </c>
      <c r="B52" s="45">
        <v>1</v>
      </c>
      <c r="C52" t="s">
        <v>971</v>
      </c>
      <c r="D52" t="s">
        <v>259</v>
      </c>
      <c r="E52" t="s">
        <v>260</v>
      </c>
      <c r="F52" t="str">
        <f t="shared" si="0"/>
        <v>replace t_appr_bodies_coded=1 if country=="Luxembourg"</v>
      </c>
    </row>
    <row r="53" spans="1:6">
      <c r="A53" s="47" t="s">
        <v>658</v>
      </c>
      <c r="B53" s="45">
        <v>2</v>
      </c>
      <c r="C53" t="s">
        <v>971</v>
      </c>
      <c r="D53" t="s">
        <v>259</v>
      </c>
      <c r="E53" t="s">
        <v>260</v>
      </c>
      <c r="F53" t="str">
        <f t="shared" si="0"/>
        <v>replace t_appr_bodies_coded=2 if country=="Macedonia (Former Yugoslav Republic Of)"</v>
      </c>
    </row>
    <row r="54" spans="1:6">
      <c r="A54" s="50" t="s">
        <v>110</v>
      </c>
      <c r="B54" s="45">
        <v>1</v>
      </c>
      <c r="C54" t="s">
        <v>971</v>
      </c>
      <c r="D54" t="s">
        <v>259</v>
      </c>
      <c r="E54" t="s">
        <v>260</v>
      </c>
      <c r="F54" t="str">
        <f t="shared" si="0"/>
        <v>replace t_appr_bodies_coded=1 if country=="Malawi"</v>
      </c>
    </row>
    <row r="55" spans="1:6">
      <c r="A55" s="47" t="s">
        <v>652</v>
      </c>
      <c r="B55" s="45">
        <v>2</v>
      </c>
      <c r="C55" t="s">
        <v>971</v>
      </c>
      <c r="D55" t="s">
        <v>259</v>
      </c>
      <c r="E55" t="s">
        <v>260</v>
      </c>
      <c r="F55" t="str">
        <f t="shared" si="0"/>
        <v>replace t_appr_bodies_coded=2 if country=="Malaysia"</v>
      </c>
    </row>
    <row r="56" spans="1:6">
      <c r="A56" s="47" t="s">
        <v>109</v>
      </c>
      <c r="B56" s="45">
        <v>1</v>
      </c>
      <c r="C56" t="s">
        <v>971</v>
      </c>
      <c r="D56" t="s">
        <v>259</v>
      </c>
      <c r="E56" t="s">
        <v>260</v>
      </c>
      <c r="F56" t="str">
        <f t="shared" si="0"/>
        <v>replace t_appr_bodies_coded=1 if country=="Mauritius"</v>
      </c>
    </row>
    <row r="57" spans="1:6">
      <c r="A57" s="47" t="s">
        <v>17</v>
      </c>
      <c r="B57" s="45">
        <v>3</v>
      </c>
      <c r="C57" t="s">
        <v>971</v>
      </c>
      <c r="D57" t="s">
        <v>259</v>
      </c>
      <c r="E57" t="s">
        <v>260</v>
      </c>
      <c r="F57" t="str">
        <f t="shared" si="0"/>
        <v>replace t_appr_bodies_coded=3 if country=="Mexico"</v>
      </c>
    </row>
    <row r="58" spans="1:6">
      <c r="A58" s="47" t="s">
        <v>102</v>
      </c>
      <c r="B58" s="45">
        <v>1</v>
      </c>
      <c r="C58" t="s">
        <v>971</v>
      </c>
      <c r="D58" t="s">
        <v>259</v>
      </c>
      <c r="E58" t="s">
        <v>260</v>
      </c>
      <c r="F58" t="str">
        <f t="shared" si="0"/>
        <v>replace t_appr_bodies_coded=1 if country=="Moldova"</v>
      </c>
    </row>
    <row r="59" spans="1:6">
      <c r="A59" s="47" t="s">
        <v>107</v>
      </c>
      <c r="B59" s="45">
        <v>1</v>
      </c>
      <c r="C59" t="s">
        <v>971</v>
      </c>
      <c r="D59" t="s">
        <v>259</v>
      </c>
      <c r="E59" t="s">
        <v>260</v>
      </c>
      <c r="F59" t="str">
        <f t="shared" si="0"/>
        <v>replace t_appr_bodies_coded=1 if country=="Mongolia"</v>
      </c>
    </row>
    <row r="60" spans="1:6">
      <c r="A60" s="47" t="s">
        <v>106</v>
      </c>
      <c r="B60" s="46">
        <v>1</v>
      </c>
      <c r="C60" t="s">
        <v>971</v>
      </c>
      <c r="D60" t="s">
        <v>259</v>
      </c>
      <c r="E60" t="s">
        <v>260</v>
      </c>
      <c r="F60" t="str">
        <f t="shared" si="0"/>
        <v>replace t_appr_bodies_coded=1 if country=="Montenegro"</v>
      </c>
    </row>
    <row r="61" spans="1:6">
      <c r="A61" s="47" t="s">
        <v>111</v>
      </c>
      <c r="B61" s="45">
        <v>2</v>
      </c>
      <c r="C61" t="s">
        <v>971</v>
      </c>
      <c r="D61" t="s">
        <v>259</v>
      </c>
      <c r="E61" t="s">
        <v>260</v>
      </c>
      <c r="F61" t="str">
        <f t="shared" si="0"/>
        <v>replace t_appr_bodies_coded=2 if country=="Namibia"</v>
      </c>
    </row>
    <row r="62" spans="1:6">
      <c r="A62" s="47" t="s">
        <v>114</v>
      </c>
      <c r="B62" s="46">
        <v>1</v>
      </c>
      <c r="C62" t="s">
        <v>971</v>
      </c>
      <c r="D62" t="s">
        <v>259</v>
      </c>
      <c r="E62" t="s">
        <v>260</v>
      </c>
      <c r="F62" t="str">
        <f t="shared" si="0"/>
        <v>replace t_appr_bodies_coded=1 if country=="Nepal"</v>
      </c>
    </row>
    <row r="63" spans="1:6">
      <c r="A63" s="47" t="s">
        <v>18</v>
      </c>
      <c r="B63" s="45">
        <v>3</v>
      </c>
      <c r="C63" t="s">
        <v>971</v>
      </c>
      <c r="D63" t="s">
        <v>259</v>
      </c>
      <c r="E63" t="s">
        <v>260</v>
      </c>
      <c r="F63" t="str">
        <f t="shared" si="0"/>
        <v>replace t_appr_bodies_coded=3 if country=="Netherlands"</v>
      </c>
    </row>
    <row r="64" spans="1:6">
      <c r="A64" s="50" t="s">
        <v>265</v>
      </c>
      <c r="B64" s="45">
        <v>1</v>
      </c>
      <c r="C64" t="s">
        <v>971</v>
      </c>
      <c r="D64" t="s">
        <v>259</v>
      </c>
      <c r="E64" t="s">
        <v>260</v>
      </c>
      <c r="F64" t="str">
        <f t="shared" si="0"/>
        <v>replace t_appr_bodies_coded=1 if country=="New Zealand"</v>
      </c>
    </row>
    <row r="65" spans="1:6">
      <c r="A65" s="47" t="s">
        <v>113</v>
      </c>
      <c r="B65" s="45">
        <v>1</v>
      </c>
      <c r="C65" t="s">
        <v>971</v>
      </c>
      <c r="D65" t="s">
        <v>259</v>
      </c>
      <c r="E65" t="s">
        <v>260</v>
      </c>
      <c r="F65" t="str">
        <f t="shared" si="0"/>
        <v>replace t_appr_bodies_coded=1 if country=="Nicaragua"</v>
      </c>
    </row>
    <row r="66" spans="1:6">
      <c r="A66" s="47" t="s">
        <v>112</v>
      </c>
      <c r="B66" s="48">
        <v>2</v>
      </c>
      <c r="C66" t="s">
        <v>971</v>
      </c>
      <c r="D66" t="s">
        <v>259</v>
      </c>
      <c r="E66" t="s">
        <v>260</v>
      </c>
      <c r="F66" t="str">
        <f t="shared" si="0"/>
        <v>replace t_appr_bodies_coded=2 if country=="Niger"</v>
      </c>
    </row>
    <row r="67" spans="1:6">
      <c r="A67" s="45" t="s">
        <v>19</v>
      </c>
      <c r="B67" s="46">
        <v>1</v>
      </c>
      <c r="C67" t="s">
        <v>971</v>
      </c>
      <c r="D67" t="s">
        <v>259</v>
      </c>
      <c r="E67" t="s">
        <v>260</v>
      </c>
      <c r="F67" t="str">
        <f t="shared" ref="F67:F93" si="1">CONCATENATE(C67,B67,D67,A67,E67)</f>
        <v>replace t_appr_bodies_coded=1 if country=="Norway"</v>
      </c>
    </row>
    <row r="68" spans="1:6">
      <c r="A68" s="45" t="s">
        <v>653</v>
      </c>
      <c r="B68" s="45">
        <v>2</v>
      </c>
      <c r="C68" t="s">
        <v>971</v>
      </c>
      <c r="D68" t="s">
        <v>259</v>
      </c>
      <c r="E68" t="s">
        <v>260</v>
      </c>
      <c r="F68" t="str">
        <f t="shared" si="1"/>
        <v>replace t_appr_bodies_coded=2 if country=="Pakistan"</v>
      </c>
    </row>
    <row r="69" spans="1:6">
      <c r="A69" s="47" t="s">
        <v>115</v>
      </c>
      <c r="B69" s="45">
        <v>2</v>
      </c>
      <c r="C69" t="s">
        <v>971</v>
      </c>
      <c r="D69" t="s">
        <v>259</v>
      </c>
      <c r="E69" t="s">
        <v>260</v>
      </c>
      <c r="F69" t="str">
        <f t="shared" si="1"/>
        <v>replace t_appr_bodies_coded=2 if country=="Panama"</v>
      </c>
    </row>
    <row r="70" spans="1:6">
      <c r="A70" s="47" t="s">
        <v>118</v>
      </c>
      <c r="B70" s="45">
        <v>3</v>
      </c>
      <c r="C70" t="s">
        <v>971</v>
      </c>
      <c r="D70" t="s">
        <v>259</v>
      </c>
      <c r="E70" t="s">
        <v>260</v>
      </c>
      <c r="F70" t="str">
        <f t="shared" si="1"/>
        <v>replace t_appr_bodies_coded=3 if country=="Paraguay"</v>
      </c>
    </row>
    <row r="71" spans="1:6">
      <c r="A71" s="47" t="s">
        <v>116</v>
      </c>
      <c r="B71" s="45">
        <v>2</v>
      </c>
      <c r="C71" t="s">
        <v>971</v>
      </c>
      <c r="D71" t="s">
        <v>259</v>
      </c>
      <c r="E71" t="s">
        <v>260</v>
      </c>
      <c r="F71" t="str">
        <f t="shared" si="1"/>
        <v>replace t_appr_bodies_coded=2 if country=="Peru"</v>
      </c>
    </row>
    <row r="72" spans="1:6">
      <c r="A72" s="47" t="s">
        <v>117</v>
      </c>
      <c r="B72" s="45">
        <v>3</v>
      </c>
      <c r="C72" t="s">
        <v>971</v>
      </c>
      <c r="D72" t="s">
        <v>259</v>
      </c>
      <c r="E72" t="s">
        <v>260</v>
      </c>
      <c r="F72" t="str">
        <f t="shared" si="1"/>
        <v>replace t_appr_bodies_coded=3 if country=="Philippines"</v>
      </c>
    </row>
    <row r="73" spans="1:6">
      <c r="A73" s="47" t="s">
        <v>20</v>
      </c>
      <c r="B73" s="45">
        <v>2</v>
      </c>
      <c r="C73" t="s">
        <v>971</v>
      </c>
      <c r="D73" t="s">
        <v>259</v>
      </c>
      <c r="E73" t="s">
        <v>260</v>
      </c>
      <c r="F73" t="str">
        <f t="shared" si="1"/>
        <v>replace t_appr_bodies_coded=2 if country=="Poland"</v>
      </c>
    </row>
    <row r="74" spans="1:6">
      <c r="A74" s="47" t="s">
        <v>21</v>
      </c>
      <c r="B74" s="45">
        <v>1</v>
      </c>
      <c r="C74" t="s">
        <v>971</v>
      </c>
      <c r="D74" t="s">
        <v>259</v>
      </c>
      <c r="E74" t="s">
        <v>260</v>
      </c>
      <c r="F74" t="str">
        <f t="shared" si="1"/>
        <v>replace t_appr_bodies_coded=1 if country=="Portugal"</v>
      </c>
    </row>
    <row r="75" spans="1:6">
      <c r="A75" s="47" t="s">
        <v>119</v>
      </c>
      <c r="B75" s="45">
        <v>3</v>
      </c>
      <c r="C75" t="s">
        <v>971</v>
      </c>
      <c r="D75" t="s">
        <v>259</v>
      </c>
      <c r="E75" t="s">
        <v>260</v>
      </c>
      <c r="F75" t="str">
        <f t="shared" si="1"/>
        <v>replace t_appr_bodies_coded=3 if country=="Romania"</v>
      </c>
    </row>
    <row r="76" spans="1:6">
      <c r="A76" s="47" t="s">
        <v>121</v>
      </c>
      <c r="B76" s="46">
        <v>3</v>
      </c>
      <c r="C76" t="s">
        <v>971</v>
      </c>
      <c r="D76" t="s">
        <v>259</v>
      </c>
      <c r="E76" t="s">
        <v>260</v>
      </c>
      <c r="F76" t="str">
        <f t="shared" si="1"/>
        <v>replace t_appr_bodies_coded=3 if country=="Senegal"</v>
      </c>
    </row>
    <row r="77" spans="1:6">
      <c r="A77" s="47" t="s">
        <v>132</v>
      </c>
      <c r="B77" s="45">
        <v>1</v>
      </c>
      <c r="C77" t="s">
        <v>971</v>
      </c>
      <c r="D77" t="s">
        <v>259</v>
      </c>
      <c r="E77" t="s">
        <v>260</v>
      </c>
      <c r="F77" t="str">
        <f t="shared" si="1"/>
        <v>replace t_appr_bodies_coded=1 if country=="Sierra Leone"</v>
      </c>
    </row>
    <row r="78" spans="1:6">
      <c r="A78" s="47" t="s">
        <v>22</v>
      </c>
      <c r="B78" s="45">
        <v>1</v>
      </c>
      <c r="C78" t="s">
        <v>971</v>
      </c>
      <c r="D78" t="s">
        <v>259</v>
      </c>
      <c r="E78" t="s">
        <v>260</v>
      </c>
      <c r="F78" t="str">
        <f t="shared" si="1"/>
        <v>replace t_appr_bodies_coded=1 if country=="Slovakia"</v>
      </c>
    </row>
    <row r="79" spans="1:6">
      <c r="A79" s="47" t="s">
        <v>23</v>
      </c>
      <c r="B79" s="46">
        <v>1</v>
      </c>
      <c r="C79" t="s">
        <v>971</v>
      </c>
      <c r="D79" t="s">
        <v>259</v>
      </c>
      <c r="E79" t="s">
        <v>260</v>
      </c>
      <c r="F79" t="str">
        <f t="shared" si="1"/>
        <v>replace t_appr_bodies_coded=1 if country=="Slovenia"</v>
      </c>
    </row>
    <row r="80" spans="1:6">
      <c r="A80" s="47" t="s">
        <v>131</v>
      </c>
      <c r="B80" s="45">
        <v>1</v>
      </c>
      <c r="C80" t="s">
        <v>971</v>
      </c>
      <c r="D80" t="s">
        <v>259</v>
      </c>
      <c r="E80" t="s">
        <v>260</v>
      </c>
      <c r="F80" t="str">
        <f t="shared" si="1"/>
        <v>replace t_appr_bodies_coded=1 if country=="Solomon Islands"</v>
      </c>
    </row>
    <row r="81" spans="1:6">
      <c r="A81" s="47" t="s">
        <v>137</v>
      </c>
      <c r="B81" s="45">
        <v>1</v>
      </c>
      <c r="C81" t="s">
        <v>971</v>
      </c>
      <c r="D81" t="s">
        <v>259</v>
      </c>
      <c r="E81" t="s">
        <v>260</v>
      </c>
      <c r="F81" t="str">
        <f t="shared" si="1"/>
        <v>replace t_appr_bodies_coded=1 if country=="South Africa"</v>
      </c>
    </row>
    <row r="82" spans="1:6">
      <c r="A82" s="50" t="s">
        <v>24</v>
      </c>
      <c r="B82" s="45">
        <v>3</v>
      </c>
      <c r="C82" t="s">
        <v>971</v>
      </c>
      <c r="D82" t="s">
        <v>259</v>
      </c>
      <c r="E82" t="s">
        <v>260</v>
      </c>
      <c r="F82" t="str">
        <f t="shared" si="1"/>
        <v>replace t_appr_bodies_coded=3 if country=="Spain"</v>
      </c>
    </row>
    <row r="83" spans="1:6">
      <c r="A83" s="47" t="s">
        <v>25</v>
      </c>
      <c r="B83" s="45">
        <v>2</v>
      </c>
      <c r="C83" t="s">
        <v>971</v>
      </c>
      <c r="D83" t="s">
        <v>259</v>
      </c>
      <c r="E83" t="s">
        <v>260</v>
      </c>
      <c r="F83" t="str">
        <f t="shared" si="1"/>
        <v>replace t_appr_bodies_coded=2 if country=="Sweden"</v>
      </c>
    </row>
    <row r="84" spans="1:6">
      <c r="A84" s="47" t="s">
        <v>26</v>
      </c>
      <c r="B84" s="46">
        <v>2</v>
      </c>
      <c r="C84" t="s">
        <v>971</v>
      </c>
      <c r="D84" t="s">
        <v>259</v>
      </c>
      <c r="E84" t="s">
        <v>260</v>
      </c>
      <c r="F84" t="str">
        <f t="shared" si="1"/>
        <v>replace t_appr_bodies_coded=2 if country=="Switzerland"</v>
      </c>
    </row>
    <row r="85" spans="1:6">
      <c r="A85" s="47" t="s">
        <v>122</v>
      </c>
      <c r="B85" s="45">
        <v>2</v>
      </c>
      <c r="C85" t="s">
        <v>971</v>
      </c>
      <c r="D85" t="s">
        <v>259</v>
      </c>
      <c r="E85" t="s">
        <v>260</v>
      </c>
      <c r="F85" t="str">
        <f t="shared" si="1"/>
        <v>replace t_appr_bodies_coded=2 if country=="Taiwan"</v>
      </c>
    </row>
    <row r="86" spans="1:6">
      <c r="A86" s="47" t="s">
        <v>654</v>
      </c>
      <c r="B86" s="45">
        <v>2</v>
      </c>
      <c r="C86" t="s">
        <v>971</v>
      </c>
      <c r="D86" t="s">
        <v>259</v>
      </c>
      <c r="E86" t="s">
        <v>260</v>
      </c>
      <c r="F86" t="str">
        <f t="shared" si="1"/>
        <v>replace t_appr_bodies_coded=2 if country=="Thailand"</v>
      </c>
    </row>
    <row r="87" spans="1:6">
      <c r="A87" s="47" t="s">
        <v>261</v>
      </c>
      <c r="B87" s="45">
        <v>2</v>
      </c>
      <c r="C87" t="s">
        <v>971</v>
      </c>
      <c r="D87" t="s">
        <v>259</v>
      </c>
      <c r="E87" t="s">
        <v>260</v>
      </c>
      <c r="F87" t="str">
        <f t="shared" si="1"/>
        <v>replace t_appr_bodies_coded=2 if country=="Trinidad And Tobago"</v>
      </c>
    </row>
    <row r="88" spans="1:6">
      <c r="A88" s="47" t="s">
        <v>657</v>
      </c>
      <c r="B88" s="45">
        <v>3</v>
      </c>
      <c r="C88" t="s">
        <v>971</v>
      </c>
      <c r="D88" t="s">
        <v>259</v>
      </c>
      <c r="E88" t="s">
        <v>260</v>
      </c>
      <c r="F88" t="str">
        <f t="shared" si="1"/>
        <v>replace t_appr_bodies_coded=3 if country=="Turkey/Ottoman Empire"</v>
      </c>
    </row>
    <row r="89" spans="1:6">
      <c r="A89" s="47" t="s">
        <v>123</v>
      </c>
      <c r="B89" s="48">
        <v>1</v>
      </c>
      <c r="C89" t="s">
        <v>971</v>
      </c>
      <c r="D89" t="s">
        <v>259</v>
      </c>
      <c r="E89" t="s">
        <v>260</v>
      </c>
      <c r="F89" t="str">
        <f t="shared" si="1"/>
        <v>replace t_appr_bodies_coded=1 if country=="Ukraine"</v>
      </c>
    </row>
    <row r="90" spans="1:6">
      <c r="A90" s="47" t="s">
        <v>124</v>
      </c>
      <c r="B90" s="46">
        <v>1</v>
      </c>
      <c r="C90" t="s">
        <v>971</v>
      </c>
      <c r="D90" t="s">
        <v>259</v>
      </c>
      <c r="E90" t="s">
        <v>260</v>
      </c>
      <c r="F90" t="str">
        <f t="shared" si="1"/>
        <v>replace t_appr_bodies_coded=1 if country=="Uruguay"</v>
      </c>
    </row>
    <row r="91" spans="1:6">
      <c r="A91" s="47" t="s">
        <v>972</v>
      </c>
      <c r="B91" s="45">
        <v>3</v>
      </c>
      <c r="C91" t="s">
        <v>971</v>
      </c>
      <c r="D91" t="s">
        <v>259</v>
      </c>
      <c r="E91" t="s">
        <v>260</v>
      </c>
      <c r="F91" t="str">
        <f t="shared" si="1"/>
        <v>replace t_appr_bodies_coded=3 if country=="United States Of America"</v>
      </c>
    </row>
    <row r="92" spans="1:6">
      <c r="A92" s="47" t="s">
        <v>134</v>
      </c>
      <c r="B92" s="46">
        <v>1</v>
      </c>
      <c r="C92" t="s">
        <v>971</v>
      </c>
      <c r="D92" t="s">
        <v>259</v>
      </c>
      <c r="E92" t="s">
        <v>260</v>
      </c>
      <c r="F92" t="str">
        <f t="shared" si="1"/>
        <v>replace t_appr_bodies_coded=1 if country=="Yugoslavia (Serbia)"</v>
      </c>
    </row>
    <row r="93" spans="1:6">
      <c r="A93" s="47" t="s">
        <v>126</v>
      </c>
      <c r="B93" s="45">
        <v>1</v>
      </c>
      <c r="C93" t="s">
        <v>971</v>
      </c>
      <c r="D93" t="s">
        <v>259</v>
      </c>
      <c r="E93" t="s">
        <v>260</v>
      </c>
      <c r="F93" t="str">
        <f t="shared" si="1"/>
        <v>replace t_appr_bodies_coded=1 if country=="Zambia"</v>
      </c>
    </row>
    <row r="94" spans="1:6">
      <c r="B94" s="13"/>
    </row>
    <row r="95" spans="1:6">
      <c r="B95" s="44"/>
    </row>
    <row r="96" spans="1:6">
      <c r="B96" s="44"/>
    </row>
  </sheetData>
  <phoneticPr fontId="21" type="noConversion"/>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1</vt:i4>
      </vt:variant>
    </vt:vector>
  </HeadingPairs>
  <TitlesOfParts>
    <vt:vector size="6" baseType="lpstr">
      <vt:lpstr>democracies_only</vt:lpstr>
      <vt:lpstr>old_all countries</vt:lpstr>
      <vt:lpstr>vp_rigid</vt:lpstr>
      <vt:lpstr>vp_rigid2ch</vt:lpstr>
      <vt:lpstr>approving bodies</vt:lpstr>
      <vt:lpstr>democracies_only!A027_</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Campus Computing Sites</dc:creator>
  <cp:lastModifiedBy>Hyeonyoung Ro</cp:lastModifiedBy>
  <dcterms:created xsi:type="dcterms:W3CDTF">2014-11-05T19:31:00Z</dcterms:created>
  <dcterms:modified xsi:type="dcterms:W3CDTF">2019-06-20T00:56:43Z</dcterms:modified>
</cp:coreProperties>
</file>